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Jason Li\Desktop\"/>
    </mc:Choice>
  </mc:AlternateContent>
  <xr:revisionPtr revIDLastSave="0" documentId="13_ncr:1_{215A43B8-D837-495C-8244-FAF0A5D2FEF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<sst xmlns="http://schemas.openxmlformats.org/spreadsheetml/2006/main" count="22363" uniqueCount="15828">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</sst>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1823546</xdr:colOff>
      <xdr:row>2</xdr:row>
      <xdr:rowOff>976110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3ABEE7A-33EA-4719-87D8-4DDE24FAF3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E8D0FFA-F5B5-4A38-8056-C2C2118C85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98B91B-3D2B-495F-AA12-93062CE9B942}"/>
    <hyperlink ref="D20" r:id="rId4" xr:uid="{CA133964-FA2F-4D71-BC36-E8A7E5C15D5A}"/>
    <hyperlink ref="G77" r:id="rId5" xr:uid="{B0871ACF-F33E-49DB-BA87-378336BF5C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D21" sqref="D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2294</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ca="1" si="0">IF(AND(C5="Smelter not listed",OR(LEN(D5)=0,LEN(E5)=0)),1,0)</f>
        <v>0</v>
      </c>
      <c r="AB5" s="228" t="str">
        <f t="shared" ref="AB5" si="1">B5&amp;C5</f>
        <v>TinYunnan Tin Company Limited</v>
      </c>
    </row>
    <row r="6" spans="1:34" s="227" customFormat="1" ht="20.100000000000001" customHeight="1">
      <c r="A6" s="262"/>
      <c r="B6" s="182" t="s">
        <v>1099</v>
      </c>
      <c r="C6" s="186" t="s">
        <v>15311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550</v>
      </c>
      <c r="X6" s="227">
        <f t="shared" ref="X6:X37" ca="1" si="3">IF(AND(C6="Smelter not listed",OR(LEN(D6)=0,LEN(E6)=0)),1,0)</f>
        <v>0</v>
      </c>
      <c r="AB6" s="228" t="str">
        <f t="shared" ref="AB6:AB37" si="4">B6&amp;C6</f>
        <v>Tin云南锡业股份有限公司锡业分公司</v>
      </c>
    </row>
    <row r="7" spans="1:34" s="227" customFormat="1" ht="20.100000000000001" customHeight="1">
      <c r="A7" s="262"/>
      <c r="B7" s="182" t="s">
        <v>1099</v>
      </c>
      <c r="C7" s="186" t="s">
        <v>2480</v>
      </c>
      <c r="D7" s="230"/>
      <c r="E7" s="182" t="str">
        <f ca="1">IF(ISERROR($V7),"",OFFSET('Smelter Look-up'!$D$4,$V7-4,0)&amp;"")</f>
        <v>CHINA</v>
      </c>
      <c r="F7" s="182" t="str">
        <f ca="1">IF(ISERROR($V7),"",OFFSET('Smelter Look-up'!$E$4,$V7-4,0))</f>
        <v>CID003116</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c r="R7" s="182" t="str">
        <f ca="1">IF(ISERROR($V7),"",OFFSET('Smelter Look-up'!$C$4,$V7-4,0)&amp;"")</f>
        <v>Guangdong Hanhe Non-Ferrous Metal Co., Ltd.</v>
      </c>
      <c r="S7" s="181" t="str">
        <f t="shared" ca="1" si="2"/>
        <v>CN</v>
      </c>
      <c r="T7" s="181" t="str">
        <f ca="1">IF(B7="","",IF(ISERROR(MATCH($J7,SorP!$B$1:$B$6226,0)),"",INDIRECT("'SorP'!$A$"&amp;MATCH($S7&amp;$J7,SorP!C:C,0))))</f>
        <v>CN-GD</v>
      </c>
      <c r="U7" s="201"/>
      <c r="V7" s="226">
        <f>IF(C7="",NA(),IF(OR(C7="Smelter not listed",C7="Smelter not yet identified"),MATCH($B7&amp;$D7,'Smelter Look-up'!$J:$J,0),MATCH($B7&amp;$C7,'Smelter Look-up'!$J:$J,0)))</f>
        <v>450</v>
      </c>
      <c r="X7" s="227">
        <f t="shared" ca="1" si="3"/>
        <v>0</v>
      </c>
      <c r="AB7" s="228" t="str">
        <f t="shared" si="4"/>
        <v>TinGuangdong Hanhe Non-Ferrous Metal Co., Ltd.</v>
      </c>
    </row>
    <row r="8" spans="1:34" s="227" customFormat="1" ht="20.100000000000001" customHeight="1">
      <c r="A8" s="262"/>
      <c r="B8" s="182" t="s">
        <v>1099</v>
      </c>
      <c r="C8" s="186" t="s">
        <v>13713</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ca="1" si="3"/>
        <v>0</v>
      </c>
      <c r="AB8" s="228" t="str">
        <f t="shared" si="4"/>
        <v>TinPT Timah Tbk Mentok</v>
      </c>
    </row>
    <row r="9" spans="1:34" s="227" customFormat="1" ht="20.100000000000001" customHeight="1">
      <c r="A9" s="262"/>
      <c r="B9" s="182" t="s">
        <v>1099</v>
      </c>
      <c r="C9" s="186" t="s">
        <v>15634</v>
      </c>
      <c r="D9" s="230"/>
      <c r="E9" s="182" t="str">
        <f ca="1">IF(ISERROR($V9),"",OFFSET('Smelter Look-up'!$D$4,$V9-4,0)&amp;"")</f>
        <v>MALAYSIA</v>
      </c>
      <c r="F9" s="182" t="str">
        <f ca="1">IF(ISERROR($V9),"",OFFSET('Smelter Look-up'!$E$4,$V9-4,0))</f>
        <v>CID004434</v>
      </c>
      <c r="G9" s="182" t="str">
        <f ca="1">IF(C9=$X$4,IF(ISERROR($V9),"Enter smelter details","RMI"),IF(ISERROR($V9),"",OFFSET('Smelter Look-up'!$F$4,$V9-4,0)))</f>
        <v>RMI</v>
      </c>
      <c r="H9" s="183">
        <f ca="1">IF(ISERROR($V9),"",OFFSET('Smelter Look-up'!$G$4,$V9-4,0))</f>
        <v>0</v>
      </c>
      <c r="I9" s="184" t="str">
        <f ca="1">IF(ISERROR($V9),"",OFFSET('Smelter Look-up'!$H$4,$V9-4,0))</f>
        <v>Port Klang</v>
      </c>
      <c r="J9" s="184" t="str">
        <f ca="1">IF(ISERROR($V9),"",OFFSET('Smelter Look-up'!$I$4,$V9-4,0))</f>
        <v>Selangor</v>
      </c>
      <c r="K9" s="224"/>
      <c r="L9" s="224"/>
      <c r="M9" s="224"/>
      <c r="N9" s="224"/>
      <c r="O9" s="224"/>
      <c r="P9" s="185"/>
      <c r="Q9" s="225"/>
      <c r="R9" s="182" t="str">
        <f ca="1">IF(ISERROR($V9),"",OFFSET('Smelter Look-up'!$C$4,$V9-4,0)&amp;"")</f>
        <v>Malaysia Smelting Corporation Berhad (Port Klang)</v>
      </c>
      <c r="S9" s="181" t="str">
        <f t="shared" ca="1" si="2"/>
        <v>MY</v>
      </c>
      <c r="T9" s="181" t="str">
        <f ca="1">IF(B9="","",IF(ISERROR(MATCH($J9,SorP!$B$1:$B$6226,0)),"",INDIRECT("'SorP'!$A$"&amp;MATCH($S9&amp;$J9,SorP!C:C,0))))</f>
        <v>MY-10</v>
      </c>
      <c r="U9" s="201"/>
      <c r="V9" s="226">
        <f>IF(C9="",NA(),IF(OR(C9="Smelter not listed",C9="Smelter not yet identified"),MATCH($B9&amp;$D9,'Smelter Look-up'!$J:$J,0),MATCH($B9&amp;$C9,'Smelter Look-up'!$J:$J,0)))</f>
        <v>469</v>
      </c>
      <c r="X9" s="227">
        <f t="shared" ca="1" si="3"/>
        <v>0</v>
      </c>
      <c r="AB9" s="228" t="str">
        <f t="shared" si="4"/>
        <v>TinMalaysia Smelting Corporation Berhad (Port Klang)</v>
      </c>
    </row>
    <row r="10" spans="1:34" s="227" customFormat="1" ht="20.100000000000001" customHeight="1">
      <c r="A10" s="262"/>
      <c r="B10" s="182" t="s">
        <v>1099</v>
      </c>
      <c r="C10" s="186" t="s">
        <v>2181</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412</v>
      </c>
      <c r="X10" s="227">
        <f t="shared" ca="1" si="3"/>
        <v>0</v>
      </c>
      <c r="AB10" s="228" t="str">
        <f t="shared" si="4"/>
        <v>TinChina Tin Lai Ben Smelter Co., Ltd.</v>
      </c>
    </row>
    <row r="11" spans="1:34" s="227" customFormat="1" ht="20.100000000000001" customHeight="1">
      <c r="A11" s="262"/>
      <c r="B11" s="182" t="s">
        <v>1099</v>
      </c>
      <c r="C11" s="186" t="s">
        <v>2186</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484</v>
      </c>
      <c r="X11" s="227">
        <f t="shared" ca="1" si="3"/>
        <v>0</v>
      </c>
      <c r="AB11" s="228" t="str">
        <f t="shared" si="4"/>
        <v>TinMSC</v>
      </c>
    </row>
    <row r="12" spans="1:34" s="227" customFormat="1" ht="20.100000000000001" customHeight="1">
      <c r="A12" s="262"/>
      <c r="B12" s="182" t="s">
        <v>1099</v>
      </c>
      <c r="C12" s="186" t="s">
        <v>2486</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546</v>
      </c>
      <c r="X12" s="227">
        <f t="shared" ca="1" si="3"/>
        <v>0</v>
      </c>
      <c r="AB12" s="228" t="str">
        <f t="shared" si="4"/>
        <v>TinYunnan Xi YE</v>
      </c>
    </row>
    <row r="13" spans="1:34" s="227" customFormat="1" ht="20.100000000000001" customHeight="1">
      <c r="A13" s="262"/>
      <c r="B13" s="182" t="s">
        <v>1099</v>
      </c>
      <c r="C13" s="186" t="s">
        <v>13719</v>
      </c>
      <c r="D13" s="230"/>
      <c r="E13" s="182" t="str">
        <f ca="1">IF(ISERROR($V13),"",OFFSET('Smelter Look-up'!$D$4,$V13-4,0)&amp;"")</f>
        <v>CHINA</v>
      </c>
      <c r="F13" s="182" t="str">
        <f ca="1">IF(ISERROR($V13),"",OFFSET('Smelter Look-up'!$E$4,$V13-4,0))</f>
        <v>CID003397</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Yunfan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547</v>
      </c>
      <c r="X13" s="227">
        <f t="shared" ca="1" si="3"/>
        <v>0</v>
      </c>
      <c r="AB13" s="228" t="str">
        <f t="shared" si="4"/>
        <v>TinYunnan Yunfan Non-ferrous Metals Co., Ltd.</v>
      </c>
    </row>
    <row r="14" spans="1:34" s="227" customFormat="1" ht="20.100000000000001" customHeight="1">
      <c r="A14" s="262"/>
      <c r="B14" s="182" t="s">
        <v>1099</v>
      </c>
      <c r="C14" s="186" t="s">
        <v>1722</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IF(C14="",NA(),IF(OR(C14="Smelter not listed",C14="Smelter not yet identified"),MATCH($B14&amp;$D14,'Smelter Look-up'!$J:$J,0),MATCH($B14&amp;$C14,'Smelter Look-up'!$J:$J,0)))</f>
        <v>400</v>
      </c>
      <c r="X14" s="227">
        <f t="shared" ca="1" si="3"/>
        <v>0</v>
      </c>
      <c r="AB14" s="228" t="str">
        <f t="shared" si="4"/>
        <v>TinAlpha Metals</v>
      </c>
    </row>
    <row r="15" spans="1:34" s="227" customFormat="1" ht="20.100000000000001" customHeight="1">
      <c r="A15" s="262"/>
      <c r="B15" s="182" t="s">
        <v>1099</v>
      </c>
      <c r="C15" s="186" t="s">
        <v>13195</v>
      </c>
      <c r="D15" s="230"/>
      <c r="E15" s="182" t="str">
        <f ca="1">IF(ISERROR($V15),"",OFFSET('Smelter Look-up'!$D$4,$V15-4,0)&amp;"")</f>
        <v>CHINA</v>
      </c>
      <c r="F15" s="182" t="str">
        <f ca="1">IF(ISERROR($V15),"",OFFSET('Smelter Look-up'!$E$4,$V15-4,0))</f>
        <v>CID000555</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Gejiu Zili Mining And Metallurgy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541</v>
      </c>
      <c r="X15" s="227">
        <f t="shared" ca="1" si="3"/>
        <v>0</v>
      </c>
      <c r="AB15" s="228" t="str">
        <f t="shared" si="4"/>
        <v>TinYunnan Gejiu Zili Metallurgy Co. Ltd.</v>
      </c>
    </row>
    <row r="16" spans="1:34" s="227" customFormat="1" ht="20.100000000000001" customHeight="1">
      <c r="A16" s="262"/>
      <c r="B16" s="182" t="s">
        <v>1098</v>
      </c>
      <c r="C16" s="186" t="s">
        <v>2095</v>
      </c>
      <c r="D16" s="230"/>
      <c r="E16" s="182" t="str">
        <f ca="1">IF(ISERROR($V16),"",OFFSET('Smelter Look-up'!$D$4,$V16-4,0)&amp;"")</f>
        <v>JAPAN</v>
      </c>
      <c r="F16" s="182" t="str">
        <f ca="1">IF(ISERROR($V16),"",OFFSET('Smelter Look-up'!$E$4,$V16-4,0))</f>
        <v>CID000019</v>
      </c>
      <c r="G16" s="182" t="str">
        <f ca="1">IF(C16=$X$4,IF(ISERROR($V16),"Enter smelter details","RMI"),IF(ISERROR($V16),"",OFFSET('Smelter Look-up'!$F$4,$V16-4,0)))</f>
        <v>RMI</v>
      </c>
      <c r="H16" s="183">
        <f ca="1">IF(ISERROR($V16),"",OFFSET('Smelter Look-up'!$G$4,$V16-4,0))</f>
        <v>0</v>
      </c>
      <c r="I16" s="184" t="str">
        <f ca="1">IF(ISERROR($V16),"",OFFSET('Smelter Look-up'!$H$4,$V16-4,0))</f>
        <v>Fuchu</v>
      </c>
      <c r="J16" s="184" t="str">
        <f ca="1">IF(ISERROR($V16),"",OFFSET('Smelter Look-up'!$I$4,$V16-4,0))</f>
        <v>Tokyo</v>
      </c>
      <c r="K16" s="224"/>
      <c r="L16" s="224"/>
      <c r="M16" s="224"/>
      <c r="N16" s="224"/>
      <c r="O16" s="224"/>
      <c r="P16" s="185"/>
      <c r="Q16" s="225"/>
      <c r="R16" s="182" t="str">
        <f ca="1">IF(ISERROR($V16),"",OFFSET('Smelter Look-up'!$C$4,$V16-4,0)&amp;"")</f>
        <v>Aida Chemical Industries Co., Ltd.</v>
      </c>
      <c r="S16" s="181" t="str">
        <f t="shared" ca="1" si="2"/>
        <v>JP</v>
      </c>
      <c r="T16" s="181" t="str">
        <f ca="1">IF(B16="","",IF(ISERROR(MATCH($J16,SorP!$B$1:$B$6226,0)),"",INDIRECT("'SorP'!$A$"&amp;MATCH($S16&amp;$J16,SorP!C:C,0))))</f>
        <v>JP-13</v>
      </c>
      <c r="U16" s="201"/>
      <c r="V16" s="226">
        <f>IF(C16="",NA(),IF(OR(C16="Smelter not listed",C16="Smelter not yet identified"),MATCH($B16&amp;$D16,'Smelter Look-up'!$J:$J,0),MATCH($B16&amp;$C16,'Smelter Look-up'!$J:$J,0)))</f>
        <v>13</v>
      </c>
      <c r="X16" s="227">
        <f t="shared" ca="1" si="3"/>
        <v>0</v>
      </c>
      <c r="AB16" s="228" t="str">
        <f t="shared" si="4"/>
        <v>GoldAida Chemical Industries Co., Ltd.</v>
      </c>
    </row>
    <row r="17" spans="1:28" s="227" customFormat="1" ht="20.100000000000001" customHeight="1">
      <c r="A17" s="262"/>
      <c r="B17" s="182" t="s">
        <v>1098</v>
      </c>
      <c r="C17" s="186" t="s">
        <v>1624</v>
      </c>
      <c r="D17" s="230"/>
      <c r="E17" s="182" t="str">
        <f ca="1">IF(ISERROR($V17),"",OFFSET('Smelter Look-up'!$D$4,$V17-4,0)&amp;"")</f>
        <v>CHINA</v>
      </c>
      <c r="F17" s="182" t="str">
        <f ca="1">IF(ISERROR($V17),"",OFFSET('Smelter Look-up'!$E$4,$V17-4,0))</f>
        <v>CID001622</v>
      </c>
      <c r="G17" s="182" t="str">
        <f ca="1">IF(C17=$X$4,IF(ISERROR($V17),"Enter smelter details","RMI"),IF(ISERROR($V17),"",OFFSET('Smelter Look-up'!$F$4,$V17-4,0)))</f>
        <v>RMI</v>
      </c>
      <c r="H17" s="183">
        <f ca="1">IF(ISERROR($V17),"",OFFSET('Smelter Look-up'!$G$4,$V17-4,0))</f>
        <v>0</v>
      </c>
      <c r="I17" s="184" t="str">
        <f ca="1">IF(ISERROR($V17),"",OFFSET('Smelter Look-up'!$H$4,$V17-4,0))</f>
        <v>Zhaoyuan</v>
      </c>
      <c r="J17" s="184" t="str">
        <f ca="1">IF(ISERROR($V17),"",OFFSET('Smelter Look-up'!$I$4,$V17-4,0))</f>
        <v>Shandong Sheng</v>
      </c>
      <c r="K17" s="224"/>
      <c r="L17" s="224"/>
      <c r="M17" s="224"/>
      <c r="N17" s="224"/>
      <c r="O17" s="224"/>
      <c r="P17" s="185"/>
      <c r="Q17" s="225"/>
      <c r="R17" s="182" t="str">
        <f ca="1">IF(ISERROR($V17),"",OFFSET('Smelter Look-up'!$C$4,$V17-4,0)&amp;"")</f>
        <v>Shandong Zhaojin Gold &amp; Silver Refinery Co., Ltd.</v>
      </c>
      <c r="S17" s="181" t="str">
        <f t="shared" ca="1" si="2"/>
        <v>CN</v>
      </c>
      <c r="T17" s="181" t="str">
        <f ca="1">IF(B17="","",IF(ISERROR(MATCH($J17,SorP!$B$1:$B$6226,0)),"",INDIRECT("'SorP'!$A$"&amp;MATCH($S17&amp;$J17,SorP!C:C,0))))</f>
        <v>CN-SD</v>
      </c>
      <c r="U17" s="201"/>
      <c r="V17" s="226">
        <f>IF(C17="",NA(),IF(OR(C17="Smelter not listed",C17="Smelter not yet identified"),MATCH($B17&amp;$D17,'Smelter Look-up'!$J:$J,0),MATCH($B17&amp;$C17,'Smelter Look-up'!$J:$J,0)))</f>
        <v>322</v>
      </c>
      <c r="X17" s="227">
        <f t="shared" ca="1" si="3"/>
        <v>0</v>
      </c>
      <c r="AB17" s="228" t="str">
        <f t="shared" si="4"/>
        <v>GoldZhaojin Mining Industry Co., Ltd.</v>
      </c>
    </row>
    <row r="18" spans="1:28" s="227" customFormat="1" ht="20.100000000000001"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FB1206-A3B4-4E17-9F61-66ACE47CEE8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Challenge Electronics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2025-09-10T15:51:48Z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