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C:\Users\jli\Desktop\"/>
    </mc:Choice>
  </mc:AlternateContent>
  <xr:revisionPtr revIDLastSave="0" documentId="13_ncr:1_{BCF2443E-C1AE-49DD-8ACD-55C74DC49867}" xr6:coauthVersionLast="47" xr6:coauthVersionMax="47" xr10:uidLastSave="{00000000-0000-0000-0000-000000000000}"/>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3" i="5" l="1"/>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V6" i="5"/>
  <c r="V7" i="5"/>
  <c r="V8" i="5"/>
  <c r="J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s="1"/>
  <c r="V10" i="5"/>
  <c r="G10" i="5" s="1"/>
  <c r="V11" i="5"/>
  <c r="E11" i="5" s="1"/>
  <c r="V12" i="5"/>
  <c r="E12" i="5" s="1"/>
  <c r="V13" i="5"/>
  <c r="E13" i="5" s="1"/>
  <c r="V14" i="5"/>
  <c r="E14" i="5" s="1"/>
  <c r="V15" i="5"/>
  <c r="E15" i="5" s="1"/>
  <c r="V16" i="5"/>
  <c r="E16" i="5" s="1"/>
  <c r="V17" i="5"/>
  <c r="E17" i="5" s="1"/>
  <c r="V18" i="5"/>
  <c r="E18" i="5" s="1"/>
  <c r="V19" i="5"/>
  <c r="G19" i="5" s="1"/>
  <c r="V20" i="5"/>
  <c r="R20" i="5" s="1"/>
  <c r="V21" i="5"/>
  <c r="G21" i="5" s="1"/>
  <c r="V22" i="5"/>
  <c r="E22" i="5" s="1"/>
  <c r="V23" i="5"/>
  <c r="E23" i="5"/>
  <c r="X23" i="5" s="1"/>
  <c r="V24" i="5"/>
  <c r="E24" i="5"/>
  <c r="X24" i="5" s="1"/>
  <c r="V25" i="5"/>
  <c r="E25" i="5"/>
  <c r="X25" i="5" s="1"/>
  <c r="V26" i="5"/>
  <c r="E26" i="5"/>
  <c r="X26" i="5" s="1"/>
  <c r="V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V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H71" i="5"/>
  <c r="E71" i="5"/>
  <c r="X71" i="5" s="1"/>
  <c r="V72" i="5"/>
  <c r="E72" i="5"/>
  <c r="X72" i="5" s="1"/>
  <c r="V73" i="5"/>
  <c r="E73" i="5"/>
  <c r="X73" i="5" s="1"/>
  <c r="V74" i="5"/>
  <c r="E74" i="5"/>
  <c r="X74" i="5" s="1"/>
  <c r="V75" i="5"/>
  <c r="E75" i="5"/>
  <c r="X75" i="5" s="1"/>
  <c r="V76" i="5"/>
  <c r="E76" i="5"/>
  <c r="X76" i="5" s="1"/>
  <c r="V77" i="5"/>
  <c r="E77" i="5"/>
  <c r="X77" i="5" s="1"/>
  <c r="V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V88" i="5"/>
  <c r="E88" i="5"/>
  <c r="X88" i="5" s="1"/>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1"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9" i="6" s="1"/>
  <c r="H9" i="6" s="1"/>
  <c r="D9" i="6" s="1"/>
  <c r="B63" i="6"/>
  <c r="G63" i="6" s="1"/>
  <c r="B62" i="6"/>
  <c r="G62" i="6" s="1"/>
  <c r="B60" i="6"/>
  <c r="G60" i="6"/>
  <c r="B59" i="6"/>
  <c r="G59" i="6"/>
  <c r="B58" i="6"/>
  <c r="G58" i="6" s="1"/>
  <c r="B57" i="6"/>
  <c r="G57" i="6" s="1"/>
  <c r="B56" i="6"/>
  <c r="G56" i="6" s="1"/>
  <c r="B55" i="6"/>
  <c r="G55" i="6" s="1"/>
  <c r="B54" i="6"/>
  <c r="G54" i="6"/>
  <c r="B17" i="6"/>
  <c r="B16" i="6"/>
  <c r="B15" i="6"/>
  <c r="B14" i="6"/>
  <c r="G14" i="6"/>
  <c r="H14" i="6"/>
  <c r="H13" i="6"/>
  <c r="B12" i="6"/>
  <c r="G12" i="6"/>
  <c r="H12" i="6"/>
  <c r="D12" i="6" s="1"/>
  <c r="B11" i="6"/>
  <c r="G11" i="6" s="1"/>
  <c r="H11" i="6" s="1"/>
  <c r="D11" i="6" s="1"/>
  <c r="G10" i="6"/>
  <c r="H10" i="6" s="1"/>
  <c r="D10" i="6" s="1"/>
  <c r="B8" i="6"/>
  <c r="G8" i="6" s="1"/>
  <c r="H8" i="6" s="1"/>
  <c r="D8" i="6" s="1"/>
  <c r="B7" i="6"/>
  <c r="G7" i="6" s="1"/>
  <c r="H7" i="6" s="1"/>
  <c r="D7" i="6" s="1"/>
  <c r="B6" i="6"/>
  <c r="G6" i="6" s="1"/>
  <c r="B5" i="6"/>
  <c r="F6" i="6" s="1"/>
  <c r="B4" i="6"/>
  <c r="G4" i="6"/>
  <c r="H4" i="6"/>
  <c r="D4" i="6" s="1"/>
  <c r="S2492" i="5"/>
  <c r="B90" i="4"/>
  <c r="H67" i="4"/>
  <c r="P47" i="4"/>
  <c r="P46" i="4"/>
  <c r="P45" i="4"/>
  <c r="P44" i="4"/>
  <c r="P43" i="4"/>
  <c r="Q43" i="4"/>
  <c r="P41" i="4"/>
  <c r="B41" i="4" s="1"/>
  <c r="P40" i="4"/>
  <c r="P39" i="4"/>
  <c r="P38" i="4"/>
  <c r="P37" i="4"/>
  <c r="Q37" i="4" s="1"/>
  <c r="P35" i="4"/>
  <c r="P34" i="4"/>
  <c r="P33" i="4"/>
  <c r="P32" i="4"/>
  <c r="P31" i="4"/>
  <c r="Q31" i="4" s="1"/>
  <c r="P29" i="4"/>
  <c r="P28" i="4"/>
  <c r="P27" i="4"/>
  <c r="P26" i="4"/>
  <c r="B26" i="4" s="1"/>
  <c r="A14" i="6" s="1"/>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s="1"/>
  <c r="G17" i="6"/>
  <c r="H17" i="6"/>
  <c r="G15" i="6"/>
  <c r="H15" i="6"/>
  <c r="B20" i="6"/>
  <c r="F25" i="6"/>
  <c r="B21" i="6"/>
  <c r="B51" i="6" s="1"/>
  <c r="G51" i="6" s="1"/>
  <c r="G16" i="6"/>
  <c r="H16" i="6" s="1"/>
  <c r="B19" i="6"/>
  <c r="A38" i="2"/>
  <c r="J4" i="5"/>
  <c r="A55" i="2"/>
  <c r="A73" i="2"/>
  <c r="B9" i="3"/>
  <c r="A3" i="2"/>
  <c r="A20" i="2"/>
  <c r="B17" i="3"/>
  <c r="B29" i="4"/>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55" i="4" s="1"/>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30" i="6"/>
  <c r="G30" i="6" s="1"/>
  <c r="B41" i="6"/>
  <c r="G41" i="6" s="1"/>
  <c r="H41" i="6" s="1"/>
  <c r="D41" i="6" s="1"/>
  <c r="B31" i="6"/>
  <c r="G31" i="6"/>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B52" i="6"/>
  <c r="G52" i="6"/>
  <c r="B37" i="6"/>
  <c r="G37" i="6" s="1"/>
  <c r="H37" i="6" s="1"/>
  <c r="D37" i="6" s="1"/>
  <c r="B42" i="6"/>
  <c r="G42" i="6"/>
  <c r="H42" i="6" s="1"/>
  <c r="D42" i="6" s="1"/>
  <c r="B40" i="6"/>
  <c r="G40" i="6" s="1"/>
  <c r="H40" i="6" s="1"/>
  <c r="D40" i="6" s="1"/>
  <c r="B50" i="6"/>
  <c r="G50" i="6" s="1"/>
  <c r="B25" i="6"/>
  <c r="G25" i="6" s="1"/>
  <c r="H25" i="6" s="1"/>
  <c r="D25" i="6" s="1"/>
  <c r="B35" i="6"/>
  <c r="G35" i="6" s="1"/>
  <c r="H35" i="6" s="1"/>
  <c r="D35" i="6" s="1"/>
  <c r="B39" i="6"/>
  <c r="G39" i="6" s="1"/>
  <c r="F24" i="6"/>
  <c r="F34" i="6" s="1"/>
  <c r="H34" i="6" s="1"/>
  <c r="D34" i="6" s="1"/>
  <c r="B44" i="6"/>
  <c r="G44" i="6"/>
  <c r="H44" i="6" s="1"/>
  <c r="D44" i="6" s="1"/>
  <c r="G32" i="6"/>
  <c r="B49" i="6"/>
  <c r="G49" i="6"/>
  <c r="H49" i="6" s="1"/>
  <c r="D49" i="6" s="1"/>
  <c r="B34" i="6"/>
  <c r="G34" i="6"/>
  <c r="B29" i="6"/>
  <c r="G29" i="6"/>
  <c r="B24" i="6"/>
  <c r="G24" i="6" s="1"/>
  <c r="G19" i="6"/>
  <c r="H19" i="6"/>
  <c r="G22" i="6"/>
  <c r="B47" i="6"/>
  <c r="G47" i="6"/>
  <c r="H47" i="6" s="1"/>
  <c r="D47" i="6" s="1"/>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G21" i="6"/>
  <c r="H21" i="6" s="1"/>
  <c r="D21" i="6" s="1"/>
  <c r="B36" i="6"/>
  <c r="G36" i="6"/>
  <c r="H36" i="6" s="1"/>
  <c r="D36" i="6" s="1"/>
  <c r="G20" i="6"/>
  <c r="H20" i="6"/>
  <c r="D20" i="6" s="1"/>
  <c r="B45" i="6"/>
  <c r="G45" i="6"/>
  <c r="D17" i="6"/>
  <c r="B27" i="6"/>
  <c r="G2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36" i="6"/>
  <c r="F51" i="6"/>
  <c r="F45" i="6"/>
  <c r="F66" i="6"/>
  <c r="F50" i="6"/>
  <c r="F30" i="6"/>
  <c r="H30" i="6" s="1"/>
  <c r="D30" i="6" s="1"/>
  <c r="F35" i="6"/>
  <c r="F4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F42" i="6"/>
  <c r="H27" i="6"/>
  <c r="D27" i="6" s="1"/>
  <c r="F68" i="6"/>
  <c r="F32" i="6"/>
  <c r="H32" i="6" s="1"/>
  <c r="D32" i="6" s="1"/>
  <c r="F52" i="6"/>
  <c r="H52" i="6" s="1"/>
  <c r="D52" i="6" s="1"/>
  <c r="F47" i="6"/>
  <c r="F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22" i="6"/>
  <c r="D22" i="6" s="1"/>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984" i="5"/>
  <c r="F984" i="5"/>
  <c r="R984" i="5"/>
  <c r="J984" i="5"/>
  <c r="I984" i="5"/>
  <c r="F44" i="6"/>
  <c r="F49" i="6"/>
  <c r="F29" i="6"/>
  <c r="H29" i="6"/>
  <c r="D29" i="6" s="1"/>
  <c r="H26" i="6"/>
  <c r="D26" i="6" s="1"/>
  <c r="H31" i="6"/>
  <c r="D31" i="6" s="1"/>
  <c r="D19" i="6"/>
  <c r="K65" i="6"/>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s="1"/>
  <c r="I7" i="5"/>
  <c r="V209" i="5"/>
  <c r="G209" i="5"/>
  <c r="R379" i="5"/>
  <c r="E379" i="5"/>
  <c r="X379" i="5" s="1"/>
  <c r="H423" i="5"/>
  <c r="E423" i="5"/>
  <c r="X423" i="5" s="1"/>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G6" i="5"/>
  <c r="R6" i="5"/>
  <c r="F6" i="5"/>
  <c r="I6" i="5"/>
  <c r="H6" i="5"/>
  <c r="E6" i="5"/>
  <c r="X6" i="5" s="1"/>
  <c r="J6" i="5"/>
  <c r="H18" i="5"/>
  <c r="F18" i="5"/>
  <c r="J18"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AB8" i="5"/>
  <c r="AB9" i="5"/>
  <c r="AB10" i="5"/>
  <c r="AB11" i="5"/>
  <c r="AB12" i="5"/>
  <c r="AB13" i="5"/>
  <c r="AB14" i="5"/>
  <c r="AB15" i="5"/>
  <c r="AB16" i="5"/>
  <c r="AB17" i="5"/>
  <c r="AB18"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7" i="5"/>
  <c r="J17" i="5"/>
  <c r="F17" i="5"/>
  <c r="H17" i="5"/>
  <c r="R17" i="5"/>
  <c r="R18" i="5"/>
  <c r="I18" i="5"/>
  <c r="J19" i="5"/>
  <c r="R19" i="5"/>
  <c r="H19" i="5"/>
  <c r="F19"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A17" i="6"/>
  <c r="B35" i="4"/>
  <c r="A22" i="6" s="1"/>
  <c r="D67" i="4"/>
  <c r="D74" i="4"/>
  <c r="E209" i="5"/>
  <c r="X209" i="5" s="1"/>
  <c r="J209" i="5"/>
  <c r="R209" i="5"/>
  <c r="F209" i="5"/>
  <c r="H209" i="5"/>
  <c r="I209" i="5"/>
  <c r="J5" i="5"/>
  <c r="H5" i="5"/>
  <c r="G5" i="5"/>
  <c r="F5" i="5"/>
  <c r="R5" i="5"/>
  <c r="E5" i="5"/>
  <c r="X5" i="5" s="1"/>
  <c r="I5"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4" i="6" a="1"/>
  <c r="G20" i="5" l="1"/>
  <c r="C12" i="6"/>
  <c r="E20" i="5"/>
  <c r="I20" i="5"/>
  <c r="H20" i="5"/>
  <c r="J20" i="5"/>
  <c r="F20" i="5"/>
  <c r="R16" i="5"/>
  <c r="J16" i="5"/>
  <c r="F16" i="5"/>
  <c r="G18" i="5"/>
  <c r="H16" i="5"/>
  <c r="I16" i="5"/>
  <c r="X15" i="5"/>
  <c r="X18" i="5"/>
  <c r="D31" i="4"/>
  <c r="R15" i="5"/>
  <c r="H15" i="5"/>
  <c r="F15" i="5"/>
  <c r="J15" i="5"/>
  <c r="I15" i="5"/>
  <c r="G15" i="5"/>
  <c r="D43" i="4"/>
  <c r="D37" i="4"/>
  <c r="D61" i="4"/>
  <c r="D49" i="4"/>
  <c r="X22" i="5"/>
  <c r="F21" i="5"/>
  <c r="E21" i="5"/>
  <c r="I21" i="5"/>
  <c r="J21" i="5"/>
  <c r="H21" i="5"/>
  <c r="R21" i="5"/>
  <c r="G22" i="5"/>
  <c r="G68" i="6"/>
  <c r="H68" i="6" s="1"/>
  <c r="D68" i="6" s="1"/>
  <c r="G16" i="5"/>
  <c r="X16" i="5"/>
  <c r="G65" i="6"/>
  <c r="G14" i="5"/>
  <c r="X14" i="5"/>
  <c r="G67" i="6"/>
  <c r="H67" i="6" s="1"/>
  <c r="D67" i="6" s="1"/>
  <c r="G13" i="5"/>
  <c r="X13" i="5"/>
  <c r="B50" i="4"/>
  <c r="A34" i="6" s="1"/>
  <c r="B62" i="4"/>
  <c r="A44" i="6" s="1"/>
  <c r="G12" i="5"/>
  <c r="X12" i="5"/>
  <c r="X11" i="5"/>
  <c r="E10" i="5"/>
  <c r="X9" i="5"/>
  <c r="G9" i="5"/>
  <c r="X17" i="5"/>
  <c r="G17" i="5"/>
  <c r="R8" i="5"/>
  <c r="G69" i="6" a="1"/>
  <c r="G69" i="6" s="1"/>
  <c r="B57" i="4"/>
  <c r="A40" i="6" s="1"/>
  <c r="F8" i="5"/>
  <c r="E8" i="5"/>
  <c r="H8" i="5"/>
  <c r="G8" i="5"/>
  <c r="I8" i="5"/>
  <c r="F69" i="6"/>
  <c r="C69" i="6" s="1"/>
  <c r="G66" i="6"/>
  <c r="H66" i="6" s="1"/>
  <c r="B56" i="4"/>
  <c r="A39" i="6" s="1"/>
  <c r="A24" i="6"/>
  <c r="B63" i="4"/>
  <c r="A45" i="6" s="1"/>
  <c r="A25" i="6"/>
  <c r="B51" i="4"/>
  <c r="A35" i="6" s="1"/>
  <c r="C17" i="6"/>
  <c r="H46" i="6"/>
  <c r="D46" i="6" s="1"/>
  <c r="H50" i="6"/>
  <c r="D50" i="6" s="1"/>
  <c r="H45" i="6"/>
  <c r="D45" i="6" s="1"/>
  <c r="K66" i="6"/>
  <c r="H51" i="6"/>
  <c r="D51" i="6" s="1"/>
  <c r="B37" i="4"/>
  <c r="A23" i="6" s="1"/>
  <c r="B61" i="4"/>
  <c r="A43" i="6" s="1"/>
  <c r="B49" i="4"/>
  <c r="A33" i="6" s="1"/>
  <c r="B83" i="4"/>
  <c r="A59" i="6" s="1"/>
  <c r="B43" i="4"/>
  <c r="A28" i="6" s="1"/>
  <c r="B85" i="4"/>
  <c r="A60" i="6" s="1"/>
  <c r="B87" i="4"/>
  <c r="A62" i="6" s="1"/>
  <c r="B75" i="4"/>
  <c r="A54" i="6" s="1"/>
  <c r="B81" i="4"/>
  <c r="A58" i="6" s="1"/>
  <c r="B55" i="4"/>
  <c r="A38" i="6" s="1"/>
  <c r="B89" i="4"/>
  <c r="A63" i="6" s="1"/>
  <c r="B77" i="4"/>
  <c r="A55" i="6" s="1"/>
  <c r="B79" i="4"/>
  <c r="A57" i="6" s="1"/>
  <c r="B31" i="4"/>
  <c r="A18" i="6" s="1"/>
  <c r="B67" i="4"/>
  <c r="A48" i="6" s="1"/>
  <c r="A27" i="6"/>
  <c r="B53" i="4"/>
  <c r="A37" i="6" s="1"/>
  <c r="B65" i="4"/>
  <c r="A47" i="6" s="1"/>
  <c r="B71" i="4"/>
  <c r="A52" i="6" s="1"/>
  <c r="B59" i="4"/>
  <c r="A42" i="6" s="1"/>
  <c r="C16" i="6"/>
  <c r="K67" i="6"/>
  <c r="D16" i="6"/>
  <c r="H24" i="6"/>
  <c r="D24" i="6" s="1"/>
  <c r="C44" i="6"/>
  <c r="C25" i="6"/>
  <c r="C47" i="6"/>
  <c r="C46" i="6"/>
  <c r="C36" i="6"/>
  <c r="C15" i="6"/>
  <c r="C26" i="6"/>
  <c r="C14" i="6"/>
  <c r="B34" i="4"/>
  <c r="A21" i="6" s="1"/>
  <c r="C51" i="6"/>
  <c r="F65" i="6"/>
  <c r="C50" i="6"/>
  <c r="F54" i="6"/>
  <c r="C42" i="6"/>
  <c r="C27" i="6"/>
  <c r="C24" i="6"/>
  <c r="F39" i="6"/>
  <c r="H39" i="6" s="1"/>
  <c r="D39" i="6" s="1"/>
  <c r="C35" i="6"/>
  <c r="C49" i="6"/>
  <c r="C40" i="6"/>
  <c r="C34" i="6"/>
  <c r="C32" i="6"/>
  <c r="C19" i="6"/>
  <c r="C22" i="6"/>
  <c r="C41" i="6"/>
  <c r="C31" i="6"/>
  <c r="C30" i="6"/>
  <c r="C29" i="6"/>
  <c r="C45" i="6"/>
  <c r="C52" i="6"/>
  <c r="C21" i="6"/>
  <c r="C37" i="6"/>
  <c r="C20" i="6"/>
  <c r="C9" i="6"/>
  <c r="C10" i="6"/>
  <c r="C8" i="6"/>
  <c r="C7" i="6"/>
  <c r="C11" i="6"/>
  <c r="C5" i="6"/>
  <c r="H6" i="6"/>
  <c r="D6" i="6"/>
  <c r="C6" i="6"/>
  <c r="G74" i="4"/>
  <c r="G67" i="4"/>
  <c r="G37" i="4"/>
  <c r="G49" i="4"/>
  <c r="G43" i="4"/>
  <c r="G61" i="4"/>
  <c r="B32" i="4"/>
  <c r="A19" i="6" s="1"/>
  <c r="G31" i="4"/>
  <c r="C4" i="6"/>
  <c r="B52" i="4"/>
  <c r="A36" i="6" s="1"/>
  <c r="B64" i="4"/>
  <c r="A46" i="6" s="1"/>
  <c r="G64" i="6"/>
  <c r="B33" i="4"/>
  <c r="A20" i="6" s="1"/>
  <c r="A26" i="6"/>
  <c r="B70" i="4"/>
  <c r="A51" i="6" s="1"/>
  <c r="B58" i="4"/>
  <c r="A41" i="6" s="1"/>
  <c r="S22" i="5"/>
  <c r="S15" i="5"/>
  <c r="S18" i="5"/>
  <c r="S17" i="5"/>
  <c r="S14" i="5"/>
  <c r="S13" i="5"/>
  <c r="S12" i="5"/>
  <c r="S11" i="5"/>
  <c r="S7" i="5"/>
  <c r="S9" i="5"/>
  <c r="S20" i="5"/>
  <c r="S5" i="5"/>
  <c r="S19" i="5"/>
  <c r="S6" i="5"/>
  <c r="S16" i="5"/>
  <c r="X20" i="5" l="1"/>
  <c r="C68" i="6"/>
  <c r="X21" i="5"/>
  <c r="C67" i="6"/>
  <c r="X10" i="5"/>
  <c r="H69" i="6"/>
  <c r="X8" i="5"/>
  <c r="C66" i="6"/>
  <c r="D66" i="6"/>
  <c r="C39" i="6"/>
  <c r="F55" i="6"/>
  <c r="F57" i="6"/>
  <c r="H57" i="6" s="1"/>
  <c r="H54" i="6"/>
  <c r="F62" i="6"/>
  <c r="H62" i="6" s="1"/>
  <c r="F60" i="6"/>
  <c r="H60" i="6" s="1"/>
  <c r="F58" i="6"/>
  <c r="H58" i="6" s="1"/>
  <c r="F63" i="6"/>
  <c r="H63" i="6" s="1"/>
  <c r="F59" i="6"/>
  <c r="H59" i="6" s="1"/>
  <c r="B2" i="6"/>
  <c r="H65" i="6"/>
  <c r="C2" i="6"/>
  <c r="B64" i="6"/>
  <c r="H64" i="6"/>
  <c r="T22" i="5"/>
  <c r="T9" i="5"/>
  <c r="T17" i="5"/>
  <c r="T6" i="5"/>
  <c r="T7" i="5"/>
  <c r="S8" i="5"/>
  <c r="S21" i="5"/>
  <c r="T5" i="5"/>
  <c r="S10" i="5"/>
  <c r="T11" i="5"/>
  <c r="T20" i="5"/>
  <c r="T18" i="5"/>
  <c r="T15" i="5"/>
  <c r="T16" i="5"/>
  <c r="T14" i="5"/>
  <c r="T13" i="5"/>
  <c r="T12" i="5"/>
  <c r="T19" i="5"/>
  <c r="D59" i="6" l="1"/>
  <c r="C59" i="6"/>
  <c r="D65" i="6"/>
  <c r="C65" i="6"/>
  <c r="D58" i="6"/>
  <c r="C58" i="6"/>
  <c r="D57" i="6"/>
  <c r="C57" i="6"/>
  <c r="D63" i="6"/>
  <c r="C63" i="6"/>
  <c r="D62" i="6"/>
  <c r="C62" i="6"/>
  <c r="F56" i="6"/>
  <c r="H56" i="6" s="1"/>
  <c r="H55" i="6"/>
  <c r="D60" i="6"/>
  <c r="C60" i="6"/>
  <c r="D54" i="6"/>
  <c r="C54" i="6"/>
  <c r="D64" i="6"/>
  <c r="C64" i="6"/>
  <c r="T8" i="5"/>
  <c r="T10" i="5"/>
  <c r="T21"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<sst xmlns="http://schemas.openxmlformats.org/spreadsheetml/2006/main" count="22581" uniqueCount="15890">
  <si>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</si>
  <si>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</si>
  <si>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</si>
  <si>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</si>
  <si>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</si>
  <si>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</si>
  <si>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</si>
  <si>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</si>
  <si>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</si>
  <si>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</si>
  <si>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</si>
  <si>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</si>
  <si>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</si>
  <si>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</si>
  <si>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</si>
  <si>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</si>
  <si>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</si>
  <si>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</si>
  <si>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</si>
  <si>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</si>
  <si>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</si>
  <si>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</si>
  <si>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</si>
  <si>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</si>
  <si>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</si>
  <si>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</si>
  <si>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</si>
  <si>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</si>
  <si>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</si>
  <si>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</si>
  <si>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</si>
  <si>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</si>
  <si>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</si>
  <si>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</si>
  <si>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</si>
  <si>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</si>
  <si>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</si>
  <si>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</si>
  <si>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</si>
  <si>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</si>
  <si>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</si>
  <si>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</si>
  <si>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</si>
  <si>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</si>
  <si>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</si>
  <si>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</si>
  <si>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</si>
  <si>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</si>
  <si>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</si>
  <si>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</si>
  <si>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</si>
  <si>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</si>
  <si>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</si>
  <si>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</si>
  <si>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</si>
  <si>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</si>
  <si>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</si>
  <si>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</si>
  <si>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</si>
  <si>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</si>
  <si>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</si>
  <si>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</si>
  <si>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</si>
  <si>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</si>
  <si>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</si>
  <si>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</si>
  <si>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</si>
  <si>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</si>
  <si>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</si>
  <si>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</si>
  <si>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</si>
  <si>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</si>
  <si>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</si>
  <si>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</si>
  <si>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</si>
  <si>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</si>
  <si>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</si>
  <si>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</si>
  <si>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</si>
  <si>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</si>
  <si>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</si>
  <si>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</si>
  <si>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</si>
  <si>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</si>
  <si>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</si>
  <si>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</si>
  <si>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</si>
  <si>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</si>
  <si>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</si>
  <si>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</si>
  <si>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</si>
  <si>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</si>
  <si>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</si>
  <si>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</si>
  <si>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</si>
  <si>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</si>
  <si>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</si>
  <si>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</si>
  <si>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</si>
  <si>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</si>
  <si>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</si>
  <si>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</si>
  <si>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</si>
  <si>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</si>
  <si>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</si>
  <si>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</si>
  <si>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</si>
  <si>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</si>
  <si>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</si>
  <si>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</si>
  <si>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</si>
  <si>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</si>
  <si>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</si>
  <si>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</si>
  <si>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</si>
  <si>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</si>
  <si>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</si>
  <si>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</si>
  <si>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</si>
  <si>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</si>
  <si>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</si>
  <si>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</si>
  <si>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</si>
  <si>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</si>
  <si>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</si>
  <si>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</si>
  <si>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</si>
  <si>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</si>
  <si>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</si>
  <si>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</si>
  <si>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</si>
  <si>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</si>
  <si>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</si>
  <si>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</si>
  <si>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</si>
  <si>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</si>
  <si>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</si>
  <si>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</si>
  <si>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</si>
  <si>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</si>
  <si>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</si>
  <si>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</si>
  <si>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</si>
  <si>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</si>
  <si>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</si>
  <si>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</si>
  <si>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</si>
  <si>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</si>
  <si>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</si>
  <si>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</si>
  <si>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</si>
  <si>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</si>
  <si>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</si>
  <si>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</si>
  <si>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</si>
  <si>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</si>
  <si>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</si>
  <si>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</si>
  <si>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</si>
  <si>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</si>
  <si>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</si>
  <si>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</si>
  <si>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</si>
  <si>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</si>
  <si>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</si>
  <si>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</si>
  <si>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</si>
  <si>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</si>
  <si>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</si>
  <si>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</si>
  <si>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</si>
  <si>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</si>
  <si>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</si>
  <si>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</si>
  <si>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</si>
  <si>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</si>
  <si>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</si>
  <si>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</si>
  <si>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</si>
  <si>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</si>
  <si>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</si>
  <si>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</si>
  <si>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</si>
  <si>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</si>
  <si>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</si>
  <si>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</si>
  <si>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</si>
  <si>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</si>
  <si>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</si>
  <si>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</si>
  <si>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</si>
  <si>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</si>
  <si>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</si>
  <si>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</si>
  <si>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</si>
  <si>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</si>
  <si>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</si>
  <si>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</si>
  <si>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</si>
  <si>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</si>
  <si>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</si>
  <si>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</si>
  <si>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</si>
  <si>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</si>
  <si>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</si>
  <si>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</si>
  <si>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</si>
  <si>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</si>
  <si>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</si>
  <si>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</si>
  <si>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</si>
  <si>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</si>
  <si>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</si>
  <si>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</si>
  <si>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</si>
  <si>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</si>
  <si>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</si>
  <si>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</si>
  <si>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</si>
  <si>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</si>
  <si>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</si>
  <si>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</si>
  <si>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</si>
  <si>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</si>
  <si>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</si>
  <si>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</si>
  <si>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</si>
  <si>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</si>
  <si>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</si>
  <si>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</si>
  <si>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</si>
  <si>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</si>
  <si>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</si>
  <si>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</si>
  <si>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</si>
  <si>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</si>
  <si>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</si>
  <si>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</si>
  <si>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</si>
  <si>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</si>
  <si>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</si>
  <si>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</si>
  <si>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</si>
  <si>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</si>
  <si>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</si>
  <si>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</si>
  <si>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</si>
  <si>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</si>
  <si>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</si>
  <si>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</si>
  <si>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</si>
  <si>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</si>
  <si>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</si>
  <si>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</si>
  <si>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</si>
  <si>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</si>
  <si>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</si>
  <si>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</si>
  <si>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</si>
  <si>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</si>
  <si>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</si>
  <si>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</si>
  <si>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</si>
  <si>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</si>
  <si>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</si>
  <si>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</si>
  <si>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</si>
  <si>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</si>
  <si>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</si>
  <si>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</si>
  <si>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</si>
  <si>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</si>
  <si>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</si>
  <si>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</si>
  <si>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</si>
  <si>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</si>
  <si>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</si>
  <si>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</si>
  <si>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</si>
  <si>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</si>
  <si>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</si>
  <si>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</si>
  <si>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</si>
  <si>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</si>
  <si>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</si>
  <si>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</si>
  <si>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</si>
  <si>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</si>
  <si>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</si>
  <si>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</si>
  <si>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</si>
  <si>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</si>
  <si>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</si>
  <si>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</si>
  <si>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</si>
  <si>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</si>
  <si>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</si>
  <si>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</si>
  <si>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</si>
  <si>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</si>
  <si>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</si>
  <si>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</si>
  <si>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</si>
  <si>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</si>
  <si>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</si>
  <si>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</si>
  <si>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</si>
  <si>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</si>
  <si>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</si>
  <si>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</si>
  <si>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</si>
  <si>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</si>
  <si>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</si>
  <si>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</si>
  <si>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</si>
  <si>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</si>
  <si>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</si>
  <si>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</si>
  <si>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</si>
  <si>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</si>
  <si>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</si>
  <si>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</si>
  <si>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</si>
  <si>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</si>
  <si>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</si>
  <si>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</si>
  <si>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</si>
  <si>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</si>
  <si>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</si>
  <si>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</si>
  <si>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</si>
  <si>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</si>
  <si>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</si>
  <si>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</si>
  <si>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</si>
  <si>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</si>
  <si>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</si>
  <si>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</si>
  <si>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</si>
  <si>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</si>
  <si>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</si>
  <si>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</si>
  <si>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</si>
  <si>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</si>
  <si>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</si>
  <si>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</si>
  <si>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</si>
  <si>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</si>
  <si>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</si>
  <si>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</si>
  <si>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</si>
  <si>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</si>
  <si>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</si>
  <si>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</si>
  <si>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</si>
  <si>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</si>
  <si>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</si>
  <si>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</si>
  <si>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</si>
  <si>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</si>
  <si>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</si>
  <si>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</si>
  <si>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</si>
  <si>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</si>
  <si>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</si>
  <si>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</si>
  <si>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</si>
  <si>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</si>
  <si>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</si>
  <si>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</si>
  <si>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</si>
  <si>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</si>
  <si>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</si>
  <si>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</si>
  <si>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</si>
  <si>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</si>
  <si>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</si>
  <si>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</si>
  <si>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</si>
  <si>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</si>
  <si>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</si>
  <si>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</si>
  <si>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</si>
  <si>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</si>
  <si>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</si>
  <si>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</si>
  <si>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</si>
  <si>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</si>
  <si>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</si>
  <si>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</si>
  <si>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</si>
  <si>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</si>
  <si>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</si>
  <si>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</si>
  <si>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</si>
  <si>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</si>
  <si>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</si>
  <si>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</si>
  <si>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</si>
  <si>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</si>
  <si>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</si>
  <si>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</si>
  <si>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</si>
  <si>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</si>
  <si>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</si>
  <si>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</si>
  <si>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</si>
  <si>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</si>
  <si>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</si>
  <si>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</si>
  <si>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</si>
  <si>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</si>
  <si>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</si>
  <si>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</si>
  <si>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</si>
  <si>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</si>
  <si>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</si>
  <si>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</si>
  <si>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</si>
  <si>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</si>
  <si>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</si>
  <si>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</si>
  <si>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</si>
  <si>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</si>
  <si>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</si>
  <si>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</si>
  <si>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</si>
  <si>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</si>
  <si>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</si>
  <si>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</si>
  <si>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</si>
  <si>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</si>
  <si>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</si>
  <si>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</si>
  <si>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</si>
  <si>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</si>
  <si>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</si>
  <si>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</si>
  <si>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</si>
  <si>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</si>
  <si>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</si>
  <si>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</si>
  <si>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</si>
  <si>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</si>
  <si>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</si>
  <si>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</si>
  <si>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</si>
  <si>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</si>
  <si>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</si>
  <si>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</si>
  <si>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</si>
  <si>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</si>
  <si>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</si>
  <si>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</si>
  <si>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</si>
  <si>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</si>
  <si>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</si>
  <si>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</si>
  <si>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</si>
  <si>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</si>
  <si>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</si>
  <si>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</si>
  <si>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</si>
  <si>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</si>
  <si>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</si>
  <si>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</si>
  <si>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</si>
  <si>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</si>
  <si>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</si>
  <si>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</si>
  <si>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</si>
  <si>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</si>
  <si>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</si>
  <si>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</si>
  <si>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</si>
  <si>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</si>
  <si>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</si>
  <si>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</si>
  <si>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</si>
  <si>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</si>
  <si>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</si>
  <si>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</si>
  <si>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</si>
  <si>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</si>
  <si>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</si>
  <si>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</si>
  <si>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</si>
  <si>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</si>
  <si>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</si>
  <si>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</si>
  <si>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</si>
  <si>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</si>
  <si>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</si>
  <si>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</si>
  <si>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</si>
  <si>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</si>
  <si>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</si>
  <si>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</si>
  <si>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</si>
  <si>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</si>
  <si>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</si>
  <si>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</si>
  <si>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</si>
  <si>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</si>
  <si>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</si>
  <si>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</si>
  <si>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</si>
  <si>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</si>
  <si>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</si>
  <si>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</si>
  <si>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</si>
  <si>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</si>
  <si>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</si>
  <si>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</si>
  <si>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</si>
  <si>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</si>
  <si>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</si>
  <si>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</si>
  <si>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</si>
  <si>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</si>
  <si>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</si>
  <si>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</si>
  <si>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</si>
  <si>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</si>
  <si>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</si>
  <si>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</si>
  <si>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</si>
  <si>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</si>
  <si>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</si>
  <si>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</si>
  <si>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</si>
  <si>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</si>
  <si>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</si>
  <si>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</si>
  <si>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</si>
  <si>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</si>
  <si>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</si>
  <si>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</si>
  <si>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</si>
  <si>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</si>
  <si>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</si>
  <si>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</si>
  <si>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</si>
  <si>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</si>
  <si>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</si>
  <si>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</si>
  <si>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</si>
  <si>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</si>
  <si>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</si>
  <si>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</si>
  <si>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</si>
  <si>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</si>
  <si>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</si>
  <si>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</si>
  <si>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</si>
  <si>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</si>
  <si>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</si>
  <si>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</si>
  <si>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</si>
  <si>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</si>
  <si>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</si>
  <si>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</si>
  <si>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</si>
  <si>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</si>
  <si>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</si>
  <si>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</si>
  <si>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</si>
  <si>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</si>
  <si>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</si>
  <si>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</si>
  <si>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</si>
  <si>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</si>
  <si>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</si>
  <si>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</si>
  <si>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</si>
  <si>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</si>
  <si>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</si>
  <si>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</si>
  <si>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</si>
  <si>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</si>
  <si>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</si>
  <si>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</si>
  <si>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</si>
  <si>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</si>
  <si>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</si>
  <si>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</si>
  <si>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</si>
  <si>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</si>
  <si>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</si>
  <si>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</si>
  <si>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</si>
  <si>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</si>
  <si>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</si>
  <si>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</si>
  <si>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</si>
  <si>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</si>
  <si>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</si>
  <si>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</si>
  <si>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</si>
  <si>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</si>
  <si>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</si>
  <si>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</si>
  <si>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</si>
  <si>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</si>
  <si>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</si>
  <si>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</si>
  <si>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</si>
  <si>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</si>
  <si>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</si>
  <si>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</si>
  <si>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</si>
  <si>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</si>
  <si>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</si>
  <si>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</si>
  <si>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</si>
  <si>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</si>
  <si>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</si>
  <si>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</si>
  <si>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</si>
  <si>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</si>
  <si>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</si>
  <si>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</si>
  <si>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</si>
  <si>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</si>
  <si>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</si>
  <si>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</si>
  <si>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</si>
  <si>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</si>
  <si>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</si>
  <si>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</si>
  <si>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</si>
  <si>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</si>
  <si>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</si>
  <si>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</si>
  <si>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</si>
  <si>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</si>
  <si>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</si>
  <si>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</si>
  <si>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</si>
  <si>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</si>
  <si>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</si>
  <si>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</si>
  <si>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</si>
  <si>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</si>
  <si>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</si>
  <si>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</si>
  <si>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</si>
  <si>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</si>
  <si>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</si>
  <si>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</si>
  <si>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</si>
  <si>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</si>
  <si>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</si>
  <si>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</si>
  <si>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</si>
  <si>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</si>
  <si>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</si>
  <si>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</si>
  <si>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</si>
  <si>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</si>
  <si>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</si>
  <si>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</si>
  <si>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</si>
  <si>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</si>
  <si>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</si>
  <si>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</si>
  <si>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</si>
  <si>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</si>
  <si>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</si>
  <si>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</si>
  <si>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</si>
  <si>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</si>
  <si>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</si>
  <si>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</si>
  <si>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</si>
  <si>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</si>
  <si>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</si>
  <si>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</si>
  <si>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</si>
  <si>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</si>
  <si>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</si>
  <si>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</si>
  <si>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</si>
  <si>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</si>
  <si>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</si>
  <si>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</si>
  <si>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</si>
  <si>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</si>
  <si>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</si>
  <si>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</si>
  <si>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</si>
  <si>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</si>
  <si>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</si>
  <si>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</si>
  <si>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</si>
  <si>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</si>
  <si>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</si>
  <si>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</si>
  <si>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</si>
  <si>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</si>
  <si>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</si>
  <si>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</si>
  <si>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</si>
  <si>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</si>
  <si>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</si>
  <si>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</si>
  <si>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</si>
  <si>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</si>
  <si>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</si>
  <si>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</si>
  <si>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</si>
  <si>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</si>
  <si>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</si>
  <si>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</si>
  <si>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</si>
  <si>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</si>
  <si>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</si>
  <si>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</si>
  <si>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</si>
  <si>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</si>
  <si>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</si>
  <si>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</si>
  <si>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</si>
  <si>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</si>
  <si>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</si>
  <si>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</si>
  <si>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</si>
  <si>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</si>
  <si>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</si>
  <si>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</si>
  <si>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</si>
  <si>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</si>
  <si>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</si>
  <si>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</si>
  <si>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</si>
  <si>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</si>
  <si>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</si>
  <si>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</si>
  <si>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</si>
  <si>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</si>
  <si>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</si>
  <si>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</si>
  <si>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</si>
  <si>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</si>
  <si>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</si>
  <si>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</si>
  <si>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</si>
  <si>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</si>
  <si>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</si>
  <si>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</si>
  <si>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</si>
  <si>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</si>
  <si>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</si>
  <si>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</si>
  <si>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</si>
  <si>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</si>
  <si>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</si>
  <si>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</si>
  <si>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</si>
  <si>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</si>
  <si>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</si>
  <si>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</si>
  <si>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</si>
  <si>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</si>
  <si>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</si>
  <si>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</si>
  <si>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</si>
  <si>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</si>
  <si>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</si>
  <si>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</si>
  <si>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</si>
  <si>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</si>
  <si>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</si>
  <si>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</si>
  <si>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</si>
  <si>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</si>
  <si>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</si>
  <si>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</si>
  <si>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</si>
  <si>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</si>
  <si>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</si>
  <si>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</si>
  <si>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</si>
  <si>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</si>
  <si>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</si>
  <si>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</si>
  <si>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</si>
  <si>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</si>
  <si>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</si>
  <si>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</si>
  <si>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</si>
  <si>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</si>
  <si>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</si>
  <si>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</si>
  <si>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</si>
  <si>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</si>
  <si>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</si>
  <si>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</si>
  <si>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</si>
  <si>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</si>
  <si>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</si>
  <si>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</si>
  <si>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</si>
  <si>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</si>
  <si>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</si>
  <si>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</si>
  <si>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</si>
  <si>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</si>
  <si>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</si>
  <si>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</si>
  <si>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</si>
  <si>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</si>
  <si>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</si>
  <si>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</si>
  <si>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</si>
  <si>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</si>
  <si>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</si>
  <si>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</si>
  <si>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</si>
  <si>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</si>
  <si>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</si>
  <si>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</si>
  <si>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</si>
  <si>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</si>
  <si>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</si>
  <si>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</si>
  <si>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</si>
  <si>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</si>
  <si>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</si>
  <si>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</si>
  <si>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</si>
  <si>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</si>
  <si>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</si>
  <si>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</si>
  <si>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</si>
  <si>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</si>
  <si>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</si>
  <si>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</si>
  <si>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</si>
  <si>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</si>
  <si>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</si>
  <si>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</si>
  <si>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</si>
  <si>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</si>
  <si>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</si>
  <si>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</si>
  <si>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</si>
  <si>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</si>
  <si>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</si>
  <si>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</si>
  <si>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</si>
  <si>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</si>
  <si>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</si>
  <si>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</si>
  <si>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</si>
  <si>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</si>
  <si>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</si>
  <si>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</si>
  <si>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</si>
  <si>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</si>
  <si>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</si>
  <si>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</si>
  <si>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</si>
  <si>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</si>
  <si>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</si>
  <si>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</si>
  <si>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</si>
  <si>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</si>
  <si>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</si>
  <si>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</si>
  <si>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</si>
  <si>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</si>
  <si>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</si>
  <si>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</si>
  <si>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</si>
  <si>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</si>
  <si>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</si>
  <si>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</si>
  <si>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</si>
  <si>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</si>
  <si>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</si>
  <si>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</si>
  <si>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</si>
  <si>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</si>
  <si>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</si>
  <si>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</si>
  <si>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</si>
  <si>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</si>
  <si>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</si>
  <si>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</si>
  <si>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</si>
  <si>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</si>
  <si>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</si>
  <si>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</si>
  <si>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</si>
  <si>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</si>
  <si>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</si>
  <si>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</si>
  <si>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</si>
  <si>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</si>
  <si>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</si>
  <si>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</si>
  <si>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</si>
  <si>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</si>
  <si>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</si>
  <si>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</si>
  <si>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</si>
  <si>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</si>
  <si>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</si>
  <si>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</si>
  <si>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</si>
  <si>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</si>
  <si>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</si>
  <si>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</si>
  <si>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</si>
  <si>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</si>
  <si>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</si>
  <si>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</si>
  <si>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</si>
  <si>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</si>
  <si>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</si>
  <si>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</si>
  <si>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</si>
  <si>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</si>
  <si>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</si>
  <si>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</si>
  <si>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</si>
  <si>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</si>
  <si>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</si>
  <si>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</si>
  <si>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</si>
  <si>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</si>
  <si>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</si>
  <si>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</si>
  <si>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</si>
  <si>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</si>
  <si>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</si>
  <si>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</si>
  <si>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</si>
  <si>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</si>
  <si>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</si>
  <si>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</si>
  <si>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</si>
  <si>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</si>
  <si>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</si>
  <si>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</si>
  <si>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</si>
  <si>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</si>
  <si>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</si>
  <si>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</si>
  <si>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</si>
  <si>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</si>
  <si>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</si>
  <si>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</si>
  <si>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</si>
  <si>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</si>
  <si>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</si>
  <si>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</si>
  <si>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</si>
  <si>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</si>
  <si>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</si>
  <si>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</si>
  <si>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</si>
  <si>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</si>
  <si>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</si>
  <si>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</si>
  <si>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</si>
  <si>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</si>
  <si>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</si>
  <si>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</si>
  <si>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</si>
  <si>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</si>
  <si>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</si>
  <si>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</si>
  <si>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</si>
  <si>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</si>
  <si>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</si>
  <si>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</si>
  <si>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</si>
  <si>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</si>
  <si>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</si>
  <si>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</si>
  <si>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</si>
  <si>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</si>
  <si>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</si>
  <si>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</si>
  <si>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</si>
  <si>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</si>
  <si>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</si>
  <si>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</si>
  <si>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</si>
  <si>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</si>
  <si>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</si>
  <si>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</si>
  <si>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</si>
  <si>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</si>
  <si>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</si>
  <si>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</si>
  <si>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</si>
  <si>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</si>
  <si>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</si>
  <si>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</si>
  <si>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</si>
  <si>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</si>
  <si>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</si>
  <si>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</si>
  <si>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</si>
  <si>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</si>
  <si>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</si>
  <si>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</si>
  <si>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</si>
  <si>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</si>
  <si>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</si>
  <si>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</si>
  <si>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</si>
  <si>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</si>
  <si>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</si>
  <si>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</si>
  <si>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</si>
  <si>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</si>
  <si>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</si>
  <si>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</si>
  <si>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</si>
  <si>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</si>
  <si>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</si>
  <si>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</si>
  <si>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</si>
  <si>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</si>
  <si>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</si>
  <si>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</si>
  <si>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</si>
  <si>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</si>
  <si>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</si>
  <si>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</si>
  <si>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</si>
  <si>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</si>
  <si>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</si>
  <si>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</si>
  <si>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</si>
  <si>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</si>
  <si>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</si>
  <si>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</si>
  <si>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</si>
  <si>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</si>
  <si>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</si>
  <si>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</si>
  <si>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</si>
  <si>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</si>
  <si>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</si>
  <si>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</si>
  <si>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</si>
  <si>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</si>
  <si>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</si>
  <si>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</si>
  <si>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</si>
  <si>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</si>
  <si>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</si>
  <si>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</si>
  <si>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</si>
  <si>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</si>
  <si>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</si>
  <si>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</si>
  <si>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</si>
  <si>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</si>
  <si>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</si>
  <si>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</si>
  <si>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</si>
  <si>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</si>
  <si>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</si>
  <si>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</si>
  <si>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</si>
  <si>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</si>
  <si>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</si>
  <si>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</si>
  <si>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</si>
  <si>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</si>
  <si>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</si>
  <si>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</si>
  <si>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</si>
  <si>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</si>
  <si>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</si>
  <si>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</si>
  <si>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</si>
  <si>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</si>
  <si>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</si>
  <si>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</si>
  <si>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</si>
  <si>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</si>
  <si>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</si>
  <si>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</si>
  <si>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</si>
  <si>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</si>
  <si>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</si>
  <si>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</si>
  <si>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</si>
  <si>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</si>
  <si>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</si>
  <si>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</si>
  <si>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</si>
  <si>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</si>
  <si>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</si>
  <si>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</si>
  <si>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</si>
  <si>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</si>
  <si>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</si>
  <si>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</si>
  <si>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</si>
  <si>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</si>
  <si>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</si>
  <si>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</si>
  <si>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</si>
  <si>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</si>
  <si>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</si>
  <si>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</si>
  <si>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</si>
  <si>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</si>
  <si>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</si>
  <si>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</si>
  <si>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</si>
  <si>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</si>
  <si>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</si>
  <si>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</si>
  <si>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</si>
  <si>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</si>
  <si>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</si>
  <si>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</si>
  <si>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</si>
  <si>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</si>
  <si>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</si>
  <si>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</si>
  <si>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</si>
  <si>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</si>
  <si>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</si>
  <si>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</si>
  <si>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</si>
  <si>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</si>
  <si>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</si>
  <si>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</si>
  <si>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</si>
  <si>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</si>
  <si>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</si>
  <si>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</si>
  <si>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</si>
  <si>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</si>
  <si>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</si>
  <si>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</si>
  <si>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</si>
  <si>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</si>
  <si>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</si>
  <si>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</si>
  <si>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</si>
  <si>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</si>
  <si>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</si>
  <si>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</si>
  <si>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</si>
  <si>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</si>
  <si>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</si>
  <si>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</si>
  <si>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</si>
  <si>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</si>
  <si>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</si>
  <si>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</si>
  <si>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</si>
  <si>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</si>
  <si>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</si>
  <si>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</si>
  <si>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</si>
  <si>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</si>
  <si>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</si>
  <si>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</si>
  <si>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</si>
  <si>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</si>
  <si>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</si>
  <si>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</si>
  <si>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</si>
  <si>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</si>
  <si>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</si>
  <si>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</si>
  <si>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</si>
  <si>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</si>
  <si>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</si>
  <si>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</si>
  <si>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</si>
  <si>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</si>
  <si>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</si>
  <si>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</si>
  <si>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</si>
  <si>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</si>
  <si>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</si>
  <si>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</si>
  <si>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</si>
  <si>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</si>
  <si>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</si>
  <si>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</si>
  <si>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</si>
  <si>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</si>
  <si>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</si>
  <si>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</si>
  <si>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</si>
  <si>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</si>
  <si>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</si>
  <si>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</si>
  <si>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</si>
  <si>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</si>
  <si>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</si>
  <si>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</si>
  <si>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</si>
  <si>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</si>
  <si>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</si>
  <si>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</si>
  <si>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</si>
  <si>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</si>
  <si>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</si>
  <si>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</si>
  <si>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</si>
  <si>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</si>
  <si>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</si>
  <si>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</si>
  <si>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</si>
  <si>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</si>
  <si>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</si>
  <si>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</si>
  <si>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</si>
  <si>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</si>
  <si>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</si>
  <si>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</si>
  <si>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</si>
  <si>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</si>
  <si>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</si>
  <si>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</si>
  <si>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</si>
  <si>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</si>
  <si>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</si>
  <si>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</si>
  <si>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</si>
  <si>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</si>
  <si>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</si>
  <si>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</si>
  <si>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</si>
  <si>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</si>
  <si>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</si>
  <si>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</si>
  <si>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</si>
  <si>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</si>
  <si>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</si>
  <si>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</si>
  <si>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</si>
  <si>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</si>
  <si>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</si>
  <si>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</si>
  <si>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</si>
  <si>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</si>
  <si>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</si>
  <si>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</si>
  <si>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</si>
  <si>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</si>
  <si>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</si>
  <si>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</si>
  <si>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</si>
  <si>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</si>
  <si>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</si>
  <si>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</si>
  <si>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</si>
  <si>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</si>
  <si>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</si>
  <si>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</si>
  <si>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</si>
  <si>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</si>
  <si>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</si>
  <si>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</si>
  <si>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</si>
  <si>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</si>
  <si>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</si>
  <si>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</si>
  <si>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</si>
  <si>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</si>
  <si>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</si>
  <si>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</si>
  <si>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</si>
  <si>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</si>
  <si>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</si>
  <si>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</si>
  <si>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</si>
  <si>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</si>
  <si>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</si>
  <si>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</si>
  <si>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</si>
  <si>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</si>
  <si>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</si>
  <si>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</si>
  <si>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</si>
  <si>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</si>
  <si>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</si>
  <si>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</si>
  <si>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</si>
  <si>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</si>
  <si>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</si>
  <si>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</si>
  <si>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</si>
  <si>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</si>
  <si>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</si>
  <si>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</si>
  <si>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</si>
  <si>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</si>
  <si>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</si>
  <si>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</si>
  <si>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</si>
  <si>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</si>
  <si>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</si>
  <si>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</si>
  <si>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</si>
  <si>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</si>
  <si>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</si>
  <si>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</si>
  <si>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</si>
  <si>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</si>
  <si>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</si>
  <si>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</si>
  <si>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</si>
  <si>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</si>
  <si>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</si>
  <si>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</si>
  <si>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</si>
  <si>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</si>
  <si>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</si>
  <si>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</si>
  <si>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</si>
  <si>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</si>
  <si>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</si>
  <si>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</si>
  <si>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</si>
  <si>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</si>
  <si>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</si>
  <si>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</si>
  <si>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</si>
  <si>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</si>
  <si>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</si>
  <si>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</si>
  <si>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</si>
  <si>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</si>
  <si>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</si>
  <si>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</si>
  <si>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</si>
  <si>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</si>
  <si>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</si>
  <si>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</si>
  <si>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</si>
  <si>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</si>
  <si>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</si>
  <si>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</si>
  <si>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</si>
  <si>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</si>
  <si>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</si>
  <si>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</si>
  <si>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</si>
  <si>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</si>
  <si>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</si>
  <si>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</si>
  <si>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</si>
  <si>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</si>
  <si>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</si>
  <si>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</si>
  <si>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</si>
  <si>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</si>
  <si>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</si>
  <si>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</si>
  <si>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</si>
  <si>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</si>
  <si>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</si>
  <si>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</si>
  <si>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</si>
  <si>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</si>
  <si>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</si>
  <si>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</si>
  <si>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</si>
  <si>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</si>
  <si>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</si>
  <si>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</si>
  <si>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</si>
  <si>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</si>
  <si>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</si>
  <si>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</si>
  <si>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</si>
  <si>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</si>
  <si>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</si>
  <si>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</si>
  <si>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</si>
  <si>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</si>
  <si>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</si>
  <si>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</si>
  <si>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</si>
  <si>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</si>
  <si>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</si>
  <si>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</si>
  <si>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</si>
  <si>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</si>
  <si>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</si>
  <si>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</si>
  <si>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</si>
  <si>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</si>
  <si>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</si>
  <si>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</si>
  <si>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</si>
  <si>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</si>
  <si>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</si>
  <si>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</si>
  <si>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</si>
  <si>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</si>
  <si>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</si>
  <si>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</si>
  <si>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</si>
  <si>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</si>
  <si>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</si>
  <si>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</si>
  <si>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</si>
  <si>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</si>
  <si>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</si>
  <si>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</si>
  <si>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</si>
  <si>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</si>
  <si>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</si>
  <si>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</si>
  <si>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</si>
  <si>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</si>
  <si>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</si>
  <si>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</si>
  <si>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</si>
  <si>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</si>
  <si>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</si>
  <si>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</si>
  <si>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</si>
  <si>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</si>
  <si>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</si>
  <si>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</si>
  <si>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</si>
  <si>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</si>
  <si>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</si>
  <si>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</si>
  <si>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</si>
  <si>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</si>
  <si>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</si>
  <si>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</si>
  <si>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</si>
  <si>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</si>
  <si>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</si>
  <si>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</si>
  <si>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</si>
  <si>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</si>
  <si>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</si>
  <si>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</si>
  <si>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</si>
  <si>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</si>
  <si>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</si>
  <si>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</si>
  <si>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</si>
  <si>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</si>
  <si>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</si>
  <si>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</si>
  <si>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</si>
  <si>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</si>
  <si>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</si>
  <si>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</si>
  <si>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</si>
  <si>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</si>
  <si>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</si>
  <si>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</si>
  <si>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</si>
  <si>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</si>
  <si>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</si>
  <si>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</si>
  <si>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</si>
  <si>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</si>
  <si>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</si>
  <si>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</si>
  <si>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</si>
  <si>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</si>
  <si>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</si>
  <si>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</si>
  <si>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</si>
  <si>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</si>
  <si>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</si>
  <si>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</si>
  <si>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</si>
  <si>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</si>
  <si>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</si>
  <si>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</si>
  <si>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</si>
  <si>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</si>
  <si>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</si>
  <si>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</si>
  <si>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</si>
  <si>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</si>
  <si>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</si>
  <si>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</si>
  <si>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</si>
  <si>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</si>
  <si>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</si>
  <si>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</si>
  <si>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</si>
  <si>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</si>
  <si>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</si>
  <si>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</si>
  <si>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</si>
  <si>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</si>
  <si>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</si>
  <si>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</si>
  <si>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</si>
  <si>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</si>
  <si>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</si>
  <si>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</si>
  <si>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</si>
  <si>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</si>
  <si>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</si>
  <si>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</si>
  <si>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</si>
  <si>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</si>
  <si>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</si>
  <si>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</si>
  <si>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</si>
  <si>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</si>
  <si>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</si>
  <si>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</si>
  <si>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</si>
  <si>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</si>
  <si>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</si>
  <si>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</si>
  <si>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</si>
  <si>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</si>
  <si>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</si>
  <si>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</si>
  <si>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</si>
  <si>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</si>
  <si>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</si>
  <si>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</si>
  <si>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</si>
  <si>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</si>
  <si>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</si>
  <si>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</si>
  <si>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</si>
  <si>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</si>
  <si>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</si>
  <si>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</si>
  <si>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</si>
  <si>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</si>
  <si>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</si>
  <si>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</si>
  <si>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</si>
  <si>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</si>
  <si>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</si>
  <si>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</si>
  <si>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</si>
  <si>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</si>
  <si>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</si>
  <si>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</si>
  <si>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</si>
  <si>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</si>
  <si>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</si>
  <si>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</si>
  <si>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</si>
  <si>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</si>
  <si>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</si>
  <si>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</si>
  <si>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</si>
  <si>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</si>
  <si>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</si>
  <si>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</si>
  <si>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</si>
  <si>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</si>
  <si>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</si>
  <si>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</si>
  <si>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</si>
  <si>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</si>
  <si>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</si>
  <si>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</si>
  <si>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</si>
  <si>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</si>
  <si>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</si>
  <si>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</si>
  <si>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</si>
  <si>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</si>
  <si>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</si>
  <si>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</si>
  <si>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</si>
  <si>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</si>
  <si>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</si>
  <si>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</si>
  <si>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</si>
  <si>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</si>
  <si>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</si>
  <si>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</si>
  <si>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</si>
  <si>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</si>
  <si>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</si>
  <si>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</si>
  <si>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</si>
  <si>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</si>
  <si>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</si>
  <si>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</si>
  <si>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</si>
  <si>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</si>
  <si>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</si>
  <si>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</si>
  <si>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</si>
  <si>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</si>
  <si>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</si>
  <si>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</si>
  <si>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</si>
  <si>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</si>
  <si>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</si>
  <si>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</si>
  <si>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</si>
  <si>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</si>
  <si>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</si>
  <si>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</si>
  <si>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</si>
  <si>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</si>
  <si>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</si>
  <si>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</si>
  <si>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</si>
  <si>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</si>
  <si>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</si>
  <si>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</si>
  <si>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</si>
  <si>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</si>
  <si>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</si>
  <si>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</si>
  <si>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</si>
  <si>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</si>
  <si>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</si>
  <si>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</si>
  <si>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</si>
  <si>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</si>
  <si>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</si>
  <si>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</si>
  <si>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</si>
  <si>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</si>
  <si>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</si>
  <si>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</si>
  <si>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</si>
  <si>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</si>
  <si>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</si>
  <si>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</si>
  <si>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</si>
  <si>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</si>
  <si>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</si>
  <si>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</si>
  <si>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</si>
  <si>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</si>
  <si>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</si>
  <si>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</si>
  <si>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</si>
  <si>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</si>
  <si>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</si>
  <si>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</si>
  <si>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</si>
  <si>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</si>
  <si>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</si>
  <si>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</si>
  <si>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</si>
  <si>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</si>
  <si>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</si>
  <si>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</si>
  <si>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</si>
  <si>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</si>
  <si>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</si>
  <si>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</si>
  <si>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</si>
  <si>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</si>
  <si>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</si>
  <si>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</si>
  <si>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</si>
  <si>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</si>
  <si>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</si>
  <si>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</si>
  <si>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</si>
  <si>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</si>
  <si>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</si>
  <si>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</si>
  <si>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</si>
  <si>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</si>
  <si>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</si>
  <si>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</si>
  <si>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</si>
  <si>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</si>
  <si>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</si>
  <si>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</si>
  <si>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</si>
  <si>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</si>
  <si>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</si>
  <si>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</si>
  <si>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</si>
  <si>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</si>
  <si>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</si>
  <si>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</si>
  <si>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</si>
  <si>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</si>
  <si>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</si>
  <si>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</si>
  <si>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</si>
  <si>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</si>
  <si>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</si>
  <si>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</si>
  <si>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</si>
  <si>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</si>
  <si>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</si>
  <si>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</si>
  <si>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</si>
  <si>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</si>
  <si>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</si>
  <si>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</si>
  <si>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</si>
  <si>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</si>
  <si>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</si>
  <si>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</si>
  <si>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</si>
  <si>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</si>
  <si>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</si>
  <si>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</si>
  <si>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</si>
  <si>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</si>
  <si>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</si>
  <si>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</si>
  <si>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</si>
  <si>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</si>
  <si>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</si>
  <si>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</si>
  <si>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</si>
  <si>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</si>
  <si>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</si>
  <si>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</si>
  <si>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</si>
  <si>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</si>
  <si>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</si>
  <si>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</si>
  <si>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</si>
  <si>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</si>
  <si>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</si>
  <si>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</si>
  <si>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</si>
  <si>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</si>
  <si>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</si>
  <si>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</si>
  <si>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</si>
  <si>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</si>
  <si>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</si>
  <si>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</si>
  <si>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</si>
  <si>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</si>
  <si>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</si>
  <si>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</si>
  <si>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</si>
  <si>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</si>
  <si>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</si>
  <si>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</si>
  <si>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</si>
  <si>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</si>
  <si>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</si>
  <si>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</si>
  <si>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</si>
  <si>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</si>
  <si>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</si>
  <si>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</si>
  <si>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</si>
  <si>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</si>
  <si>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</si>
  <si>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</si>
  <si>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</si>
  <si>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</si>
  <si>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</si>
  <si>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</si>
  <si>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</si>
  <si>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</si>
  <si>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</si>
  <si>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</si>
  <si>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</si>
  <si>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</si>
  <si>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</si>
  <si>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</si>
  <si>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</si>
  <si>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</si>
  <si>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</si>
  <si>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</si>
  <si>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</si>
  <si>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</si>
  <si>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</si>
  <si>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</si>
  <si>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</si>
  <si>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</si>
  <si>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</si>
  <si>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</si>
  <si>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</si>
  <si>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</si>
  <si>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</si>
  <si>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</si>
  <si>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</si>
  <si>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</si>
  <si>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</si>
  <si>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</si>
  <si>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</si>
  <si>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</si>
  <si>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</si>
  <si>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</si>
  <si>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</si>
  <si>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</si>
  <si>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</si>
  <si>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</si>
  <si>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</si>
  <si>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</si>
  <si>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</si>
  <si>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</si>
  <si>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</si>
  <si>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</si>
  <si>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</si>
  <si>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</si>
  <si>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</si>
  <si>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</si>
  <si>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</si>
  <si>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</si>
  <si>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</si>
  <si>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</si>
  <si>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</si>
  <si>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</si>
  <si>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</si>
  <si>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</si>
  <si>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</si>
  <si>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</si>
  <si>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</si>
  <si>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</si>
  <si>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</si>
  <si>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</si>
  <si>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</si>
  <si>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</si>
  <si>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</si>
  <si>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</si>
  <si>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</si>
  <si>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</si>
  <si>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</si>
  <si>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</si>
  <si>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</si>
  <si>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</si>
  <si>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</si>
  <si>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</si>
  <si>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</si>
  <si>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</si>
  <si>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</si>
  <si>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</si>
  <si>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</si>
  <si>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</si>
  <si>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</si>
  <si>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</si>
  <si>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</si>
  <si>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</si>
  <si>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</si>
  <si>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</si>
  <si>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</si>
  <si>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</si>
  <si>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</si>
  <si>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</si>
  <si>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</si>
  <si>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</si>
  <si>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</si>
  <si>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</si>
  <si>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</si>
  <si>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</si>
  <si>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</si>
  <si>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</si>
  <si>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</si>
  <si>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</si>
  <si>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</si>
  <si>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</si>
  <si>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</si>
  <si>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</si>
  <si>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</si>
  <si>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</si>
  <si>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</si>
  <si>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</si>
  <si>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</si>
  <si>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</si>
  <si>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</si>
  <si>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</si>
  <si>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</si>
  <si>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</si>
  <si>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</si>
  <si>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</si>
  <si>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</si>
  <si>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</si>
  <si>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</si>
  <si>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</si>
  <si>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</si>
  <si>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</si>
  <si>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</si>
  <si>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</si>
  <si>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</si>
  <si>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</si>
  <si>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</si>
  <si>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</si>
  <si>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</si>
  <si>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</si>
  <si>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</si>
  <si>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</si>
  <si>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</si>
  <si>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</si>
  <si>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</si>
  <si>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</si>
  <si>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</si>
  <si>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</si>
  <si>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</si>
  <si>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</si>
  <si>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</si>
  <si>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</si>
  <si>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</si>
  <si>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</si>
  <si>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</si>
  <si>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</si>
  <si>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</si>
  <si>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</si>
  <si>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</si>
  <si>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</si>
  <si>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</si>
  <si>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</si>
  <si>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</si>
  <si>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</si>
  <si>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</si>
  <si>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</si>
  <si>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</si>
  <si>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</si>
  <si>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</si>
  <si>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</si>
  <si>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</si>
  <si>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</si>
  <si>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</si>
  <si>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</si>
  <si>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</si>
  <si>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</si>
  <si>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</si>
  <si>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</si>
  <si>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</si>
  <si>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</si>
  <si>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</si>
  <si>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</si>
  <si>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</si>
  <si>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</si>
  <si>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</si>
  <si>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</si>
  <si>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</si>
  <si>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</si>
  <si>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</si>
  <si>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</si>
  <si>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</si>
  <si>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</si>
  <si>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</si>
  <si>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</si>
  <si>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</si>
  <si>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</si>
  <si>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</si>
  <si>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</si>
  <si>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</si>
  <si>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</si>
  <si>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</si>
  <si>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</si>
  <si>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</si>
  <si>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</si>
  <si>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</si>
  <si>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</si>
  <si>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</si>
  <si>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</si>
  <si>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</si>
  <si>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</si>
  <si>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</si>
  <si>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</si>
  <si>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</si>
  <si>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</si>
  <si>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</si>
  <si>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</si>
  <si>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</si>
  <si>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</si>
  <si>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</si>
  <si>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</si>
  <si>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</si>
  <si>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</si>
  <si>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</si>
  <si>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</si>
  <si>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</si>
  <si>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</si>
  <si>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</si>
  <si>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</si>
  <si>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</si>
  <si>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</si>
  <si>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</si>
  <si>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</si>
  <si>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</si>
  <si>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</si>
  <si>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</si>
  <si>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</si>
  <si>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</si>
  <si>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</si>
  <si>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</si>
  <si>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</si>
  <si>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</si>
  <si>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</si>
  <si>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</si>
  <si>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</si>
  <si>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</si>
  <si>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</si>
  <si>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</si>
  <si>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</si>
  <si>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</si>
  <si>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</si>
  <si>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</si>
  <si>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</si>
  <si>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</si>
  <si>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</si>
  <si>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</si>
  <si>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</si>
  <si>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</si>
  <si>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</si>
  <si>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</si>
  <si>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</si>
  <si>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</si>
  <si>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</si>
  <si>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</si>
  <si>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</si>
  <si>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</si>
  <si>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</si>
  <si>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</si>
  <si>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</si>
  <si>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</si>
  <si>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</si>
  <si>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</si>
  <si>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</si>
  <si>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</si>
  <si>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</si>
  <si>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</si>
  <si>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</si>
  <si>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</si>
  <si>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</si>
  <si>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</si>
  <si>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</si>
  <si>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</si>
  <si>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</si>
  <si>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</si>
  <si>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</si>
  <si>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</si>
  <si>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</si>
  <si>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</si>
  <si>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</si>
  <si>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</si>
  <si>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</si>
  <si>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</si>
  <si>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</si>
  <si>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</si>
  <si>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</si>
  <si>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</si>
  <si>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</si>
  <si>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</si>
  <si>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</si>
  <si>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</si>
  <si>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</si>
  <si>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</si>
  <si>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</si>
  <si>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</si>
  <si>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</si>
  <si>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</si>
  <si>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</si>
  <si>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</si>
  <si>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</si>
  <si>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</si>
  <si>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</si>
  <si>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</si>
  <si>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</si>
  <si>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</si>
  <si>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</si>
  <si>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</si>
  <si>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</si>
  <si>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</si>
  <si>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</si>
  <si>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</si>
  <si>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</si>
  <si>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</si>
  <si>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</si>
  <si>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</si>
  <si>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</si>
  <si>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</si>
  <si>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</si>
  <si>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</si>
  <si>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</si>
  <si>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</si>
  <si>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</si>
  <si>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</si>
  <si>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</si>
  <si>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</si>
  <si>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</si>
  <si>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</si>
  <si>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</si>
  <si>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</si>
  <si>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</si>
  <si>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</si>
  <si>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</si>
  <si>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</si>
  <si>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</si>
  <si>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</si>
  <si>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</si>
  <si>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</si>
  <si>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</si>
  <si>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</si>
  <si>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</si>
  <si>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</si>
  <si>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</si>
  <si>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</si>
  <si>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</si>
  <si>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</si>
  <si>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</si>
  <si>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</si>
  <si>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</si>
  <si>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</si>
  <si>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</si>
  <si>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</si>
  <si>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</si>
  <si>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</si>
  <si>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</si>
  <si>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</si>
  <si>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</si>
  <si>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</si>
  <si>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</si>
  <si>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</si>
  <si>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</si>
  <si>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</si>
  <si>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</si>
  <si>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</si>
  <si>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</si>
  <si>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</si>
  <si>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</si>
  <si>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</si>
  <si>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</si>
  <si>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</si>
  <si>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</si>
  <si>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</si>
  <si>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</si>
  <si>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</si>
  <si>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</si>
  <si>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</si>
  <si>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</si>
  <si>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</si>
  <si>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</si>
  <si>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</si>
  <si>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</si>
  <si>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</si>
  <si>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</si>
  <si>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</si>
  <si>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</si>
  <si>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</si>
  <si>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</si>
  <si>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</si>
  <si>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</si>
  <si>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</si>
  <si>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</si>
  <si>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</si>
  <si>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</si>
  <si>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</si>
  <si>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</si>
  <si>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</si>
  <si>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</si>
  <si>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</si>
  <si>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</si>
  <si>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</si>
  <si>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</si>
  <si>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</si>
  <si>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</si>
  <si>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</si>
  <si>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</si>
  <si>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</si>
  <si>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</si>
  <si>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</si>
  <si>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</si>
  <si>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</si>
  <si>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</si>
  <si>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</si>
  <si>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</si>
  <si>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</si>
  <si>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</si>
  <si>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</si>
  <si>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</si>
  <si>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</si>
  <si>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</si>
  <si>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</si>
  <si>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</si>
  <si>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</si>
  <si>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</si>
  <si>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</si>
  <si>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</si>
  <si>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</si>
  <si>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</si>
  <si>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</si>
  <si>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</si>
  <si>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</si>
  <si>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</si>
  <si>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</si>
  <si>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</si>
  <si>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</si>
  <si>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</si>
  <si>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</si>
  <si>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</si>
  <si>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</si>
  <si>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</si>
  <si>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</si>
  <si>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</si>
  <si>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</si>
  <si>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</si>
  <si>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</si>
  <si>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</si>
  <si>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</si>
  <si>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</si>
  <si>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</si>
  <si>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</si>
  <si>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</si>
  <si>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</si>
  <si>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</si>
  <si>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</si>
  <si>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</si>
  <si>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</si>
  <si>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</si>
  <si>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</si>
  <si>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</si>
  <si>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</si>
  <si>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</si>
  <si>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</si>
  <si>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</si>
  <si>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</si>
  <si>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</si>
  <si>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</si>
  <si>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</si>
  <si>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</si>
  <si>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</si>
  <si>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</si>
  <si>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</si>
  <si>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</si>
  <si>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</si>
  <si>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</si>
  <si>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</si>
  <si>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</si>
  <si>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</si>
  <si>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</si>
  <si>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</si>
  <si>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</si>
  <si>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</si>
  <si>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</si>
  <si>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</si>
  <si>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</si>
  <si>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</si>
  <si>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</si>
  <si>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</si>
  <si>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</si>
  <si>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</si>
  <si>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</si>
  <si>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</si>
  <si>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</si>
  <si>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</si>
  <si>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</si>
  <si>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</si>
  <si>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</si>
  <si>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</si>
  <si>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</si>
  <si>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</si>
  <si>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</si>
  <si>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</si>
  <si>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</si>
  <si>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</si>
  <si>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</si>
  <si>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</si>
  <si>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</si>
  <si>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</si>
  <si>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</si>
  <si>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</si>
  <si>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</si>
  <si>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</si>
  <si>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</si>
  <si>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</si>
  <si>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</si>
  <si>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</si>
  <si>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</si>
  <si>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</si>
  <si>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</si>
  <si>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</si>
  <si>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</si>
  <si>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</si>
  <si>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</si>
  <si>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</si>
  <si>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</si>
  <si>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</si>
  <si>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</si>
  <si>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</si>
  <si>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</si>
  <si>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</si>
  <si>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</si>
  <si>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</si>
  <si>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</si>
  <si>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</si>
  <si>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</si>
  <si>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</si>
  <si>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</si>
  <si>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</si>
  <si>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</si>
  <si>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</si>
  <si>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</si>
  <si>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</si>
  <si>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</si>
  <si>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</si>
  <si>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</si>
  <si>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</si>
  <si>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</si>
  <si>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</si>
  <si>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</si>
  <si>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</si>
  <si>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</si>
  <si>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</si>
  <si>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</si>
  <si>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</si>
  <si>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</si>
  <si>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</si>
  <si>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</si>
  <si>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</si>
  <si>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</si>
  <si>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</si>
  <si>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</si>
  <si>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</si>
  <si>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</si>
  <si>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</si>
  <si>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</si>
  <si>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</si>
  <si>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</si>
  <si>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</si>
  <si>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</si>
  <si>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</si>
  <si>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</si>
  <si>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</si>
  <si>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</si>
  <si>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</si>
  <si>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</si>
  <si>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</si>
  <si>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</si>
  <si>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</si>
  <si>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</si>
  <si>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</si>
  <si>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</si>
  <si>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</si>
  <si>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</si>
  <si>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</si>
  <si>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</si>
  <si>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</si>
  <si>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</si>
  <si>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</si>
  <si>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</si>
  <si>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</si>
  <si>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</si>
  <si>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</si>
  <si>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</si>
  <si>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</si>
  <si>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</si>
  <si>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</si>
  <si>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</si>
  <si>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</si>
  <si>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</si>
  <si>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</si>
  <si>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</si>
  <si>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</si>
  <si>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</si>
  <si>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</si>
  <si>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</si>
  <si>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</si>
  <si>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</si>
  <si>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</si>
  <si>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</si>
  <si>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</si>
  <si>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</si>
  <si>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</si>
  <si>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</si>
  <si>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</si>
  <si>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</si>
  <si>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</si>
  <si>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</si>
  <si>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</si>
  <si>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</si>
  <si>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</si>
  <si>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</si>
  <si>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</si>
  <si>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</si>
  <si>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</si>
  <si>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</si>
  <si>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</si>
  <si>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</si>
  <si>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</si>
  <si>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</si>
  <si>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</si>
  <si>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</si>
  <si>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</si>
  <si>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</si>
  <si>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</si>
  <si>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</si>
  <si>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</si>
  <si>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</si>
  <si>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</si>
  <si>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</si>
  <si>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</si>
  <si>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</si>
  <si>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</si>
  <si>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</si>
  <si>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</si>
  <si>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</si>
  <si>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</si>
  <si>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</si>
  <si>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</si>
  <si>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</si>
  <si>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</si>
  <si>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</si>
  <si>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</si>
  <si>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</si>
  <si>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</si>
  <si>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</si>
  <si>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</si>
  <si>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</si>
  <si>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</si>
  <si>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</si>
  <si>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</si>
  <si>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</si>
  <si>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</si>
  <si>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</si>
  <si>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</si>
  <si>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</si>
  <si>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</si>
  <si>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</si>
  <si>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</si>
  <si>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</si>
  <si>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</si>
  <si>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</si>
  <si>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</si>
  <si>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</si>
  <si>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</si>
  <si>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</si>
  <si>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</si>
  <si>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</si>
  <si>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</si>
  <si>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</si>
  <si>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</si>
  <si>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</si>
  <si>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</si>
  <si>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</si>
  <si>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</si>
  <si>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</si>
  <si>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</si>
  <si>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</si>
  <si>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</si>
  <si>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</si>
  <si>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</si>
  <si>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</si>
  <si>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</si>
  <si>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</si>
  <si>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</si>
  <si>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</si>
  <si>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</si>
  <si>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</si>
  <si>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</si>
  <si>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</si>
  <si>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</si>
  <si>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</si>
  <si>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</si>
  <si>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</si>
  <si>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</si>
  <si>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</si>
  <si>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</si>
  <si>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</si>
  <si>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</si>
  <si>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</si>
  <si>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</si>
  <si>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</si>
  <si>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</si>
  <si>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</si>
  <si>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</si>
  <si>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</si>
  <si>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</si>
  <si>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</si>
  <si>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</si>
  <si>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</si>
  <si>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</si>
  <si>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</si>
  <si>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</si>
  <si>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</si>
  <si>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</si>
  <si>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</si>
  <si>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</si>
  <si>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</si>
  <si>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</si>
  <si>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</si>
  <si>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</si>
  <si>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</si>
  <si>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</si>
  <si>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</si>
  <si>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</si>
  <si>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</si>
  <si>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</si>
  <si>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</si>
  <si>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</si>
  <si>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</si>
  <si>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</si>
  <si>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</si>
  <si>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</si>
  <si>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</si>
  <si>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</si>
  <si>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</si>
  <si>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</si>
  <si>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</si>
  <si>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</si>
  <si>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</si>
  <si>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</si>
  <si>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</si>
  <si>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</si>
  <si>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</si>
  <si>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</si>
  <si>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</si>
  <si>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</si>
  <si>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</si>
  <si>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</si>
  <si>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</si>
  <si>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</si>
  <si>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</si>
  <si>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</si>
  <si>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</si>
  <si>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</si>
  <si>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</si>
  <si>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</si>
  <si>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</si>
  <si>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</si>
  <si>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</si>
  <si>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</si>
  <si>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</si>
  <si>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</si>
  <si>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</si>
  <si>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</si>
  <si>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</si>
  <si>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</si>
  <si>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</si>
  <si>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</si>
  <si>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</si>
  <si>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</si>
  <si>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</si>
  <si>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</si>
  <si>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</si>
  <si>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</si>
  <si>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</si>
  <si>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</si>
  <si>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</si>
  <si>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</si>
  <si>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</si>
  <si>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</si>
  <si>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</si>
  <si>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</si>
  <si>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</si>
  <si>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</si>
  <si>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</si>
  <si>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</si>
  <si>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</si>
  <si>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</si>
  <si>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</si>
  <si>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</si>
  <si>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</si>
  <si>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</si>
  <si>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</si>
  <si>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</si>
  <si>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</si>
  <si>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</si>
  <si>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</si>
  <si>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</si>
  <si>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</si>
  <si>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</si>
  <si>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</si>
  <si>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</si>
  <si>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</si>
  <si>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</si>
  <si>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</si>
  <si>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</si>
  <si>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</si>
  <si>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</si>
  <si>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</si>
  <si>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</si>
  <si>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</si>
  <si>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</si>
  <si>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</si>
  <si>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</si>
  <si>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</si>
  <si>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</si>
  <si>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</si>
  <si>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</si>
  <si>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</si>
  <si>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</si>
  <si>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</si>
  <si>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</si>
  <si>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</si>
  <si>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</si>
  <si>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</si>
  <si>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</si>
  <si>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</si>
  <si>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</si>
  <si>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</si>
  <si>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</si>
  <si>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</si>
  <si>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</si>
  <si>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</si>
  <si>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</si>
  <si>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</si>
  <si>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</si>
  <si>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</si>
  <si>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</si>
  <si>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</si>
  <si>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</si>
  <si>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</si>
  <si>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</si>
  <si>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</si>
  <si>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</si>
  <si>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</si>
  <si>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</si>
  <si>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</si>
  <si>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</si>
  <si>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</si>
  <si>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</si>
  <si>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</si>
  <si>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</si>
  <si>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</si>
  <si>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</si>
  <si>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</si>
  <si>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</si>
  <si>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</si>
  <si>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</si>
  <si>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</si>
  <si>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</si>
  <si>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</si>
  <si>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</si>
  <si>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</si>
  <si>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</si>
  <si>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</si>
  <si>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</si>
  <si>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</si>
  <si>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</si>
  <si>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</si>
  <si>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</si>
  <si>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</si>
  <si>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</si>
  <si>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</si>
  <si>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</si>
  <si>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</si>
  <si>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</si>
  <si>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</si>
  <si>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</si>
  <si>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</si>
  <si>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</si>
  <si>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</si>
  <si>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</si>
  <si>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</si>
  <si>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</si>
  <si>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</si>
  <si>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</si>
  <si>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</si>
  <si>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</si>
  <si>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</si>
  <si>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</si>
  <si>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</si>
  <si>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</si>
  <si>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</si>
  <si>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</si>
  <si>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</si>
  <si>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</si>
  <si>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</si>
  <si>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</si>
  <si>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</si>
  <si>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</si>
  <si>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</si>
  <si>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</si>
  <si>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</si>
  <si>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</si>
  <si>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</si>
  <si>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</si>
  <si>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</si>
  <si>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</si>
  <si>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</si>
  <si>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</si>
  <si>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</si>
  <si>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</si>
  <si>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</si>
  <si>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</si>
  <si>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</si>
  <si>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</si>
  <si>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</si>
  <si>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</si>
  <si>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</si>
  <si>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</si>
  <si>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</si>
  <si>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</si>
  <si>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</si>
  <si>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</si>
  <si>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</si>
  <si>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</si>
  <si>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</si>
  <si>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</si>
  <si>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</si>
  <si>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</si>
  <si>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</si>
  <si>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</si>
  <si>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</si>
  <si>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</si>
  <si>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</si>
  <si>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</si>
  <si>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</si>
  <si>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</si>
  <si>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</si>
  <si>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</si>
  <si>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</si>
  <si>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</si>
  <si>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</si>
  <si>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</si>
  <si>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</si>
  <si>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</si>
  <si>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</si>
  <si>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</si>
  <si>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</si>
  <si>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</si>
  <si>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</si>
  <si>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</si>
  <si>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</si>
  <si>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</si>
  <si>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</si>
  <si>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</si>
  <si>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</si>
  <si>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</si>
  <si>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</si>
  <si>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</si>
  <si>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</si>
  <si>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</si>
  <si>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</si>
  <si>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</si>
  <si>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</si>
  <si>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</si>
  <si>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</si>
  <si>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</si>
  <si>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</si>
  <si>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</si>
  <si>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</si>
  <si>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</si>
  <si>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</si>
  <si>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</si>
  <si>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</si>
  <si>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</si>
  <si>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</si>
  <si>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</si>
  <si>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</si>
  <si>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</si>
  <si>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</si>
  <si>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</si>
  <si>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</si>
  <si>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</si>
  <si>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</si>
  <si>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</si>
  <si>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</si>
  <si>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</si>
  <si>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</si>
  <si>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</si>
  <si>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</si>
  <si>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</si>
  <si>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</si>
  <si>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</si>
  <si>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</si>
  <si>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</si>
  <si>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</si>
  <si>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</si>
  <si>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</si>
  <si>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</si>
  <si>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</si>
  <si>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</si>
  <si>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</si>
  <si>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</si>
  <si>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</si>
  <si>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</si>
  <si>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</si>
  <si>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</si>
  <si>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</si>
  <si>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</si>
  <si>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</si>
  <si>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</si>
  <si>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</si>
  <si>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</si>
  <si>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</si>
  <si>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</si>
  <si>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</si>
  <si>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</si>
  <si>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</si>
  <si>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</si>
  <si>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</si>
  <si>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</si>
  <si>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</si>
  <si>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</si>
  <si>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</si>
  <si>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</si>
  <si>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</si>
  <si>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</si>
  <si>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</si>
  <si>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</si>
  <si>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</si>
  <si>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</si>
  <si>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</si>
  <si>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</si>
  <si>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</si>
  <si>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</si>
  <si>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</si>
  <si>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</si>
  <si>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</si>
  <si>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</si>
  <si>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</si>
  <si>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</si>
  <si>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</si>
  <si>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</si>
  <si>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</si>
  <si>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</si>
  <si>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</si>
  <si>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</si>
  <si>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</si>
  <si>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</si>
  <si>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</si>
  <si>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</si>
  <si>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</si>
  <si>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</si>
  <si>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</si>
  <si>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</si>
  <si>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</si>
  <si>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</si>
  <si>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</si>
  <si>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</si>
  <si>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</si>
  <si>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</si>
  <si>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</si>
  <si>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</si>
  <si>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</si>
  <si>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</si>
  <si>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</si>
  <si>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</si>
  <si>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</si>
  <si>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</si>
  <si>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</si>
  <si>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</si>
  <si>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</si>
  <si>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</si>
  <si>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</si>
  <si>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</si>
  <si>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</si>
  <si>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</si>
  <si>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</si>
  <si>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</si>
  <si>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</si>
  <si>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</si>
  <si>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</si>
  <si>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</si>
  <si>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</si>
  <si>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</si>
  <si>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</si>
  <si>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</si>
  <si>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</si>
  <si>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</si>
  <si>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</si>
  <si>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</si>
  <si>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</si>
  <si>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</si>
  <si>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</si>
  <si>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</si>
  <si>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</si>
  <si>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</si>
  <si>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</si>
  <si>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</si>
  <si>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</si>
  <si>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</si>
  <si>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</si>
  <si>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</si>
  <si>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</si>
  <si>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</si>
  <si>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</si>
  <si>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</si>
  <si>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</si>
  <si>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</si>
  <si>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</si>
  <si>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</si>
  <si>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</si>
  <si>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</si>
  <si>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</si>
  <si>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</si>
  <si>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</si>
  <si>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</si>
  <si>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</si>
  <si>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</si>
  <si>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</si>
  <si>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</si>
  <si>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</si>
  <si>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</si>
  <si>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</si>
  <si>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</si>
  <si>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</si>
  <si>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</si>
  <si>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</si>
  <si>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</si>
  <si>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</si>
  <si>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</si>
  <si>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</si>
  <si>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</si>
  <si>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</si>
  <si>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</si>
  <si>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</si>
  <si>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</si>
  <si>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</si>
  <si>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</si>
  <si>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</si>
  <si>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</si>
  <si>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</si>
  <si>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</si>
  <si>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</si>
  <si>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</si>
  <si>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</si>
  <si>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</si>
  <si>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</si>
  <si>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</si>
  <si>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</si>
  <si>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</si>
  <si>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</si>
  <si>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</si>
  <si>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</si>
  <si>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</si>
  <si>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</si>
  <si>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</si>
  <si>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</si>
  <si>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</si>
  <si>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</si>
  <si>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</si>
  <si>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</si>
  <si>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</si>
  <si>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</si>
  <si>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</si>
  <si>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</si>
  <si>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</si>
  <si>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</si>
  <si>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</si>
  <si>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</si>
  <si>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</si>
  <si>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</si>
  <si>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</si>
  <si>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</si>
  <si>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</si>
  <si>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</si>
  <si>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</si>
  <si>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</si>
  <si>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</si>
  <si>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</si>
  <si>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</si>
  <si>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</si>
  <si>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</si>
  <si>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</si>
  <si>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</si>
  <si>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</si>
  <si>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</si>
  <si>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</si>
  <si>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</si>
  <si>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</si>
  <si>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</si>
  <si>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</si>
  <si>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</si>
  <si>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</si>
  <si>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</si>
  <si>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</si>
  <si>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</si>
  <si>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</si>
  <si>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</si>
  <si>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</si>
  <si>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</si>
  <si>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</si>
  <si>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</si>
  <si>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</si>
  <si>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</si>
  <si>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</si>
  <si>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</si>
  <si>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</si>
  <si>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</si>
  <si>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</si>
  <si>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</si>
  <si>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</si>
  <si>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</si>
  <si>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</si>
  <si>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</si>
  <si>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</si>
  <si>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</si>
  <si>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</si>
  <si>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</si>
  <si>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</si>
  <si>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</si>
  <si>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</si>
  <si>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</si>
  <si>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</si>
  <si>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</si>
  <si>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</si>
  <si>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</si>
  <si>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</si>
  <si>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</si>
  <si>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</si>
  <si>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</si>
  <si>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</si>
  <si>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</si>
  <si>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</si>
  <si>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</si>
  <si>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</si>
  <si>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</si>
  <si>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</si>
  <si>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</si>
  <si>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</si>
  <si>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</si>
  <si>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</si>
  <si>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</si>
  <si>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</si>
  <si>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</si>
  <si>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</si>
  <si>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</si>
  <si>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</si>
  <si>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</si>
  <si>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</si>
  <si>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</si>
  <si>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</si>
  <si>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</si>
  <si>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</si>
  <si>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</si>
  <si>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</si>
  <si>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</si>
  <si>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</si>
  <si>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</si>
  <si>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</si>
  <si>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</si>
  <si>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</si>
  <si>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</si>
  <si>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</si>
  <si>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</si>
  <si>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</si>
  <si>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</si>
  <si>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</si>
  <si>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</si>
  <si>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</si>
  <si>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</si>
  <si>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</si>
  <si>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</si>
  <si>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</si>
  <si>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</si>
  <si>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</si>
  <si>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</si>
  <si>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</si>
  <si>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</si>
  <si>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</si>
  <si>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</si>
  <si>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</si>
  <si>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</si>
  <si>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</si>
  <si>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</si>
  <si>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</si>
  <si>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</si>
  <si>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</si>
  <si>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</si>
  <si>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</si>
  <si>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</si>
  <si>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</si>
  <si>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</si>
  <si>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</si>
  <si>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</si>
  <si>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</si>
  <si>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</si>
  <si>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</si>
  <si>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</si>
  <si>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</si>
  <si>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</si>
  <si>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</si>
  <si>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</si>
  <si>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</si>
  <si>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</si>
  <si>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</si>
  <si>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</si>
  <si>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</si>
  <si>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</si>
  <si>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</si>
  <si>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</si>
  <si>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</si>
  <si>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</si>
  <si>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</si>
  <si>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</si>
  <si>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</si>
  <si>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</si>
  <si>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</si>
  <si>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</si>
  <si>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</si>
  <si>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</si>
  <si>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</si>
  <si>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</si>
  <si>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</si>
  <si>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</si>
  <si>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</si>
  <si>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</si>
  <si>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</si>
  <si>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</si>
  <si>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</si>
  <si>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</si>
  <si>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</si>
  <si>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</si>
  <si>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</si>
  <si>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</si>
  <si>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</si>
  <si>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</si>
  <si>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</si>
  <si>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</si>
  <si>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</si>
  <si>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</si>
  <si>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</si>
  <si>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</si>
  <si>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</si>
  <si>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</si>
  <si>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</si>
  <si>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</si>
  <si>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</si>
  <si>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</si>
  <si>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</si>
  <si>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</si>
  <si>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</si>
  <si>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</si>
  <si>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</si>
  <si>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</si>
  <si>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</si>
  <si>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</si>
  <si>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</si>
  <si>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</si>
  <si>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</si>
  <si>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</si>
  <si>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</si>
  <si>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</si>
  <si>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</si>
  <si>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</si>
  <si>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</si>
  <si>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</si>
  <si>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</si>
  <si>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</si>
  <si>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</si>
  <si>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</si>
  <si>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</si>
  <si>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</si>
  <si>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</si>
  <si>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</si>
  <si>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</si>
  <si>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</si>
  <si>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</si>
  <si>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</si>
  <si>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</si>
  <si>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</si>
  <si>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</si>
  <si>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</si>
  <si>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</si>
  <si>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</si>
  <si>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</si>
  <si>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</si>
  <si>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</si>
  <si>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</si>
  <si>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</si>
  <si>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</si>
  <si>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</si>
  <si>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</si>
  <si>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</si>
  <si>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</si>
  <si>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</si>
  <si>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</si>
  <si>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</si>
  <si>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</si>
  <si>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</si>
  <si>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</si>
  <si>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</si>
  <si>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</si>
  <si>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</si>
  <si>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</si>
  <si>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</si>
  <si>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</si>
  <si>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</si>
  <si>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</si>
  <si>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</si>
  <si>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</si>
  <si>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</si>
  <si>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</si>
  <si>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</si>
  <si>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</si>
  <si>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</si>
  <si>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</si>
  <si>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</si>
  <si>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</si>
  <si>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</si>
  <si>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</si>
  <si>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</si>
  <si>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</si>
  <si>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</si>
  <si>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</si>
  <si>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</si>
  <si>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</si>
  <si>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</si>
  <si>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</si>
  <si>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</si>
  <si>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</si>
  <si>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</si>
  <si>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</si>
  <si>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</si>
  <si>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</si>
  <si>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</si>
  <si>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</si>
  <si>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</si>
  <si>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</si>
  <si>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</si>
  <si>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</si>
  <si>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</si>
  <si>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</si>
  <si>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</si>
  <si>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</si>
  <si>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</si>
  <si>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</si>
  <si>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</si>
  <si>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</si>
  <si>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</si>
  <si>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</si>
  <si>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</si>
  <si>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</si>
  <si>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</si>
  <si>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</si>
  <si>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</si>
  <si>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</si>
  <si>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</si>
  <si>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</si>
  <si>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</si>
  <si>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</si>
  <si>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</si>
  <si>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</si>
  <si>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</si>
  <si>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</si>
  <si>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</si>
  <si>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</si>
  <si>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</si>
  <si>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</si>
  <si>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</si>
  <si>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</si>
  <si>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</si>
  <si>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</si>
  <si>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</si>
  <si>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</si>
  <si>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</si>
  <si>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</si>
  <si>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</si>
  <si>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</si>
  <si>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</si>
  <si>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</si>
  <si>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</si>
  <si>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</si>
  <si>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</si>
  <si>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</si>
  <si>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</si>
  <si>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</si>
  <si>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</si>
  <si>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</si>
  <si>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</si>
  <si>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</si>
  <si>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</si>
  <si>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</si>
  <si>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</si>
  <si>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</si>
  <si>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</si>
  <si>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</si>
  <si>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</si>
  <si>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</si>
  <si>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</si>
  <si>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</si>
  <si>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</si>
  <si>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</si>
  <si>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</si>
  <si>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</si>
  <si>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</si>
  <si>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</si>
  <si>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</si>
  <si>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</si>
  <si>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</si>
  <si>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</si>
  <si>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</si>
  <si>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</si>
  <si>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</si>
  <si>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</si>
  <si>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</si>
  <si>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</si>
  <si>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</si>
  <si>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</si>
  <si>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</si>
  <si>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</si>
  <si>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</si>
  <si>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</si>
  <si>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</si>
  <si>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</si>
  <si>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</si>
  <si>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</si>
  <si>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</si>
  <si>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</si>
  <si>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</si>
  <si>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</si>
  <si>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</si>
  <si>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</si>
  <si>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</si>
  <si>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</si>
  <si>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</si>
  <si>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</si>
  <si>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</si>
  <si>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</si>
  <si>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</si>
  <si>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</si>
  <si>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</si>
  <si>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</si>
  <si>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</si>
  <si>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</si>
  <si>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</si>
  <si>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</si>
  <si>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</si>
  <si>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</si>
  <si>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</si>
  <si>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</si>
  <si>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</si>
  <si>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</si>
  <si>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</si>
  <si>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</si>
  <si>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</si>
  <si>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</si>
  <si>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</si>
  <si>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</si>
  <si>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</si>
  <si>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</si>
  <si>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</si>
  <si>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</si>
  <si>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</si>
  <si>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</si>
  <si>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</si>
  <si>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</si>
  <si>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</si>
  <si>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</si>
  <si>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</si>
  <si>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</si>
  <si>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</si>
  <si>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</si>
  <si>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</si>
  <si>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</si>
  <si>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</si>
  <si>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</si>
  <si>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</si>
  <si>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</si>
  <si>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</si>
  <si>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</si>
  <si>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</si>
  <si>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</si>
  <si>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</si>
  <si>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</si>
  <si>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</si>
  <si>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</si>
  <si>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</si>
  <si>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</si>
  <si>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</si>
  <si>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</si>
  <si>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</si>
  <si>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</si>
  <si>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</si>
  <si>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</si>
  <si>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</si>
  <si>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</si>
  <si>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</si>
  <si>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</si>
  <si>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</si>
  <si>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</si>
  <si>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</si>
  <si>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</si>
  <si>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</si>
  <si>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</si>
  <si>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</si>
  <si>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</si>
  <si>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</si>
  <si>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</si>
  <si>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</si>
  <si>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</si>
  <si>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</si>
  <si>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</si>
  <si>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</si>
  <si>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</si>
  <si>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</si>
  <si>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</si>
  <si>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</si>
  <si>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</si>
  <si>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</si>
  <si>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</si>
  <si>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</si>
  <si>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</si>
  <si>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</si>
  <si>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</si>
  <si>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</si>
  <si>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</si>
  <si>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</si>
  <si>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</si>
  <si>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</si>
  <si>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</si>
  <si>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</si>
  <si>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</si>
  <si>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</si>
  <si>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</si>
  <si>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</si>
  <si>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</si>
  <si>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</si>
  <si>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</si>
  <si>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</si>
  <si>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</si>
  <si>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</si>
  <si>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</si>
  <si>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</si>
  <si>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</si>
  <si>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</si>
  <si>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</si>
  <si>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</si>
  <si>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</si>
  <si>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</si>
  <si>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</si>
  <si>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</si>
  <si>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</si>
  <si>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</si>
  <si>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</si>
  <si>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</si>
  <si>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</si>
  <si>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</si>
  <si>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</si>
  <si>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</si>
  <si>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</si>
  <si>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</si>
  <si>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</si>
  <si>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</si>
  <si>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</si>
  <si>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</si>
  <si>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</si>
  <si>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</si>
  <si>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</si>
  <si>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</si>
  <si>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</si>
  <si>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</si>
  <si>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</si>
  <si>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</si>
  <si>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</si>
  <si>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</si>
  <si>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</si>
  <si>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</si>
  <si>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</si>
  <si>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</si>
  <si>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</si>
  <si>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</si>
  <si>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</si>
  <si>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</si>
  <si>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</si>
  <si>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</si>
  <si>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</si>
  <si>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</si>
  <si>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</si>
  <si>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</si>
  <si>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</si>
  <si>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</si>
  <si>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</si>
  <si>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</si>
  <si>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</si>
  <si>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</si>
  <si>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</si>
  <si>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</si>
  <si>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</si>
  <si>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</si>
  <si>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</si>
  <si>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</si>
  <si>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</si>
  <si>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</si>
  <si>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</si>
  <si>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</si>
  <si>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</si>
  <si>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</si>
  <si>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</si>
  <si>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</si>
  <si>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</si>
  <si>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</si>
  <si>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</si>
  <si>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</si>
  <si>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</si>
  <si>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</si>
  <si>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</si>
  <si>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</si>
  <si>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</si>
  <si>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</si>
  <si>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</si>
  <si>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</si>
  <si>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</si>
  <si>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</si>
  <si>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</si>
  <si>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</si>
  <si>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</si>
  <si>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</si>
  <si>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</si>
  <si>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</si>
  <si>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</si>
  <si>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</si>
  <si>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</si>
  <si>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</si>
  <si>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</si>
  <si>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</si>
  <si>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</si>
  <si>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</si>
  <si>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</si>
  <si>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</si>
  <si>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</si>
  <si>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</si>
  <si>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</si>
  <si>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</si>
  <si>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</si>
  <si>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</si>
  <si>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</si>
  <si>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</si>
  <si>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</si>
  <si>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</si>
  <si>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</si>
  <si>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</si>
  <si>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</si>
  <si>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</si>
  <si>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</si>
  <si>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</si>
  <si>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</si>
  <si>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</si>
  <si>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</si>
  <si>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</si>
  <si>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</si>
  <si>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</si>
  <si>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</si>
  <si>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</si>
  <si>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</si>
  <si>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</si>
  <si>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</si>
  <si>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</si>
  <si>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</si>
  <si>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</si>
  <si>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</si>
  <si>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</si>
  <si>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</si>
  <si>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</si>
  <si>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</si>
  <si>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</si>
  <si>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</si>
  <si>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</si>
  <si>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</si>
  <si>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</si>
  <si>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</si>
  <si>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</si>
  <si>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</si>
  <si>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</si>
  <si>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</si>
  <si>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</si>
  <si>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</si>
  <si>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</si>
  <si>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</si>
  <si>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</si>
  <si>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</si>
  <si>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</si>
  <si>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</si>
  <si>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</si>
  <si>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</si>
  <si>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</si>
  <si>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</si>
  <si>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</si>
  <si>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</si>
  <si>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</si>
  <si>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</si>
  <si>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</si>
  <si>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</si>
  <si>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</si>
  <si>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</si>
  <si>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</si>
  <si>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</si>
  <si>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</si>
  <si>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</si>
  <si>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</si>
  <si>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</si>
  <si>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</si>
  <si>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</si>
  <si>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</si>
  <si>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</si>
  <si>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</si>
  <si>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</si>
  <si>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</si>
  <si>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</si>
  <si>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</si>
  <si>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</si>
  <si>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</si>
  <si>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</si>
  <si>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</si>
  <si>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</si>
  <si>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</si>
  <si>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</si>
  <si>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</si>
  <si>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</si>
  <si>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</si>
  <si>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</si>
  <si>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</si>
  <si>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</si>
  <si>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</si>
  <si>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</si>
  <si>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</si>
  <si>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</si>
  <si>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</si>
  <si>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</si>
  <si>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</si>
  <si>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</si>
  <si>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</si>
  <si>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</si>
  <si>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</si>
  <si>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</si>
  <si>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</si>
  <si>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</si>
  <si>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</si>
  <si>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</si>
  <si>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</si>
  <si>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</si>
  <si>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</si>
  <si>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</si>
  <si>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</si>
  <si>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</si>
  <si>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</si>
  <si>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</si>
  <si>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</si>
  <si>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</si>
  <si>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</si>
  <si>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</si>
  <si>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</si>
  <si>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</si>
  <si>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</si>
  <si>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</si>
  <si>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</si>
  <si>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</si>
  <si>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</si>
  <si>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</si>
  <si>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</si>
  <si>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</si>
  <si>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</si>
  <si>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</si>
  <si>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</si>
  <si>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</si>
  <si>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</si>
  <si>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</si>
  <si>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</si>
  <si>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</si>
  <si>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</si>
  <si>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</si>
  <si>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</si>
  <si>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</si>
  <si>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</si>
  <si>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</si>
  <si>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</si>
  <si>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</si>
  <si>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</si>
  <si>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</si>
  <si>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</si>
  <si>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</si>
  <si>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</si>
  <si>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</si>
  <si>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</si>
  <si>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</si>
  <si>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</si>
  <si>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</si>
  <si>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</si>
  <si>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</si>
  <si>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</si>
  <si>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</si>
  <si>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</si>
  <si>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</si>
  <si>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</si>
  <si>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</si>
  <si>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</si>
  <si>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</si>
  <si>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</si>
  <si>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</si>
  <si>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</si>
  <si>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</si>
  <si>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</si>
  <si>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</si>
  <si>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</si>
  <si>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</si>
  <si>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</si>
  <si>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</si>
  <si>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</si>
  <si>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</si>
  <si>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</si>
  <si>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</si>
  <si>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</si>
  <si>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</si>
  <si>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</si>
  <si>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</si>
  <si>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</si>
  <si>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</si>
  <si>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</si>
  <si>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</si>
  <si>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</si>
  <si>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</si>
  <si>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</si>
  <si>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</si>
  <si>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</si>
  <si>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</si>
  <si>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</si>
  <si>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</si>
  <si>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</si>
  <si>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</si>
  <si>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</si>
  <si>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</si>
  <si>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</si>
  <si>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</si>
  <si>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</si>
  <si>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</si>
  <si>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</si>
  <si>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</si>
  <si>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</si>
  <si>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</si>
  <si>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</si>
  <si>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</si>
  <si>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</si>
  <si>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</si>
  <si>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</si>
  <si>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</si>
  <si>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</si>
  <si>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</si>
  <si>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</si>
  <si>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</si>
  <si>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</si>
  <si>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</si>
  <si>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</si>
  <si>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</si>
  <si>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</si>
  <si>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</si>
  <si>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</si>
  <si>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</si>
  <si>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</si>
  <si>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</si>
  <si>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</si>
  <si>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</si>
  <si>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</si>
  <si>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</si>
  <si>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</si>
  <si>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</si>
  <si>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</si>
  <si>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</si>
  <si>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</si>
  <si>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</si>
  <si>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</si>
  <si>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</si>
  <si>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</si>
  <si>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</si>
  <si>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</si>
  <si>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</si>
  <si>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</si>
  <si>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</si>
  <si>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</si>
  <si>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</si>
  <si>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</si>
  <si>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</si>
  <si>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</si>
  <si>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</si>
  <si>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</si>
  <si>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</si>
  <si>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</si>
  <si>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</si>
  <si>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</si>
  <si>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</si>
  <si>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</si>
  <si>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</si>
  <si>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</si>
  <si>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</si>
  <si>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</si>
  <si>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</si>
  <si>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</si>
  <si>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</si>
  <si>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</si>
  <si>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</si>
  <si>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</si>
  <si>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</si>
  <si>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</si>
  <si>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</si>
  <si>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</si>
  <si>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</si>
  <si>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</si>
  <si>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</si>
  <si>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</si>
  <si>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</si>
  <si>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</si>
  <si>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</si>
  <si>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</si>
  <si>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</si>
  <si>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</si>
  <si>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</si>
  <si>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</si>
  <si>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</si>
  <si>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</si>
  <si>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</si>
  <si>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</si>
  <si>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</si>
  <si>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</si>
  <si>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</si>
  <si>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</si>
  <si>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</si>
  <si>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</si>
  <si>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</si>
  <si>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</si>
  <si>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</si>
  <si>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</si>
  <si>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</si>
  <si>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</si>
  <si>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</si>
  <si>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</si>
  <si>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</si>
  <si>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</si>
  <si>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</si>
  <si>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</si>
  <si>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</si>
  <si>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</si>
  <si>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</si>
  <si>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</si>
  <si>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</si>
  <si>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</si>
  <si>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</si>
  <si>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</si>
  <si>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</si>
  <si>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</si>
  <si>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</si>
  <si>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</si>
  <si>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</si>
  <si>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</si>
  <si>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</si>
  <si>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</si>
  <si>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</si>
  <si>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</si>
  <si>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</si>
  <si>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</si>
  <si>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</si>
  <si>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</si>
  <si>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</si>
  <si>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</si>
  <si>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</si>
  <si>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</si>
  <si>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</si>
  <si>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</si>
  <si>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</si>
  <si>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</si>
  <si>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</si>
  <si>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</si>
  <si>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</si>
  <si>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</si>
  <si>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</si>
  <si>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</si>
  <si>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</si>
  <si>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</si>
  <si>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</si>
  <si>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</si>
  <si>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</si>
  <si>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</si>
  <si>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</si>
  <si>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</si>
  <si>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</si>
  <si>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</si>
  <si>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</si>
  <si>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</si>
  <si>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</si>
  <si>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</si>
  <si>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</si>
  <si>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</si>
  <si>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</si>
  <si>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</si>
  <si>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</si>
  <si>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</si>
  <si>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</si>
  <si>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</si>
  <si>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</si>
  <si>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</si>
  <si>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</si>
  <si>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</si>
  <si>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</si>
  <si>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</si>
  <si>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</si>
  <si>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</si>
  <si>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</si>
  <si>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</si>
  <si>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</si>
  <si>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</si>
  <si>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</si>
  <si>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</si>
  <si>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</si>
  <si>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</si>
  <si>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</si>
  <si>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</si>
  <si>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</si>
  <si>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</si>
  <si>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</si>
  <si>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</si>
  <si>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</si>
  <si>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</si>
  <si>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</si>
  <si>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</si>
  <si>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</si>
  <si>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</si>
  <si>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</si>
  <si>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</si>
  <si>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</si>
  <si>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</si>
  <si>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</si>
  <si>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</si>
  <si>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</si>
  <si>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</si>
  <si>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</si>
  <si>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</si>
  <si>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</si>
  <si>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</si>
  <si>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</si>
  <si>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</si>
  <si>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</si>
  <si>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</si>
  <si>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</si>
  <si>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</si>
  <si>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</si>
  <si>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</si>
  <si>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</si>
  <si>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</si>
  <si>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</si>
  <si>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</si>
  <si>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</si>
  <si>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</si>
  <si>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</si>
  <si>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</si>
  <si>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</si>
  <si>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</si>
  <si>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</si>
  <si>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</si>
  <si>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</si>
  <si>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</si>
  <si>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</si>
  <si>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</si>
  <si>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</si>
  <si>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</si>
  <si>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</si>
  <si>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</si>
  <si>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</si>
  <si>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</si>
  <si>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</si>
  <si>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</si>
  <si>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</si>
  <si>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</si>
  <si>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</si>
  <si>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</si>
  <si>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</si>
  <si>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</si>
  <si>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</si>
  <si>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</si>
  <si>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</si>
  <si>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</si>
  <si>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</si>
  <si>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</si>
  <si>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</si>
  <si>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</si>
  <si>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</si>
  <si>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</si>
  <si>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</si>
  <si>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</si>
  <si>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</si>
  <si>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</si>
  <si>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</si>
  <si>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</si>
  <si>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</si>
  <si>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</si>
  <si>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</si>
  <si>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</si>
  <si>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</si>
  <si>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</si>
  <si>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</si>
  <si>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</si>
  <si>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</si>
  <si>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</si>
  <si>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</si>
  <si>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</si>
  <si>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</si>
  <si>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</si>
  <si>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</si>
  <si>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</si>
  <si>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</si>
  <si>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</si>
  <si>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</si>
  <si>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</si>
  <si>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</si>
  <si>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</si>
  <si>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</si>
  <si>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</si>
  <si>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</si>
  <si>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</si>
  <si>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</si>
  <si>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</si>
  <si>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</si>
  <si>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</si>
  <si>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</si>
  <si>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</si>
  <si>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</si>
  <si>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</si>
  <si>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</si>
  <si>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</si>
  <si>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</si>
  <si>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</si>
  <si>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</si>
  <si>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</si>
  <si>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</si>
  <si>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</si>
  <si>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</si>
  <si>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</si>
  <si>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</si>
  <si>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</si>
  <si>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</si>
  <si>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</si>
  <si>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</si>
  <si>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</si>
  <si>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</si>
  <si>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</si>
  <si>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</si>
  <si>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</si>
  <si>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</si>
  <si>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</si>
  <si>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</si>
  <si>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</si>
  <si>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</si>
  <si>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</si>
  <si>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</si>
  <si>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</si>
  <si>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</si>
  <si>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</si>
  <si>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</si>
  <si>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</si>
  <si>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</si>
  <si>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</si>
  <si>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</si>
  <si>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</si>
  <si>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</si>
  <si>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</si>
  <si>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</si>
  <si>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</si>
  <si>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</si>
  <si>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</si>
  <si>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</si>
  <si>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</si>
  <si>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</si>
  <si>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</si>
  <si>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</si>
  <si>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</si>
  <si>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</si>
  <si>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</si>
  <si>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</si>
  <si>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</si>
  <si>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</si>
  <si>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</si>
  <si>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</si>
  <si>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</si>
  <si>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</si>
  <si>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</si>
  <si>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</si>
  <si>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</si>
  <si>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</si>
  <si>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</si>
  <si>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</si>
  <si>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</si>
  <si>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</si>
  <si>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</si>
  <si>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</si>
  <si>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</si>
  <si>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</si>
  <si>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</si>
  <si>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</si>
  <si>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</si>
  <si>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</si>
  <si>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</si>
  <si>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</si>
  <si>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</si>
  <si>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</si>
  <si>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</si>
  <si>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</si>
  <si>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</si>
  <si>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</si>
  <si>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</si>
  <si>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</si>
  <si>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</si>
  <si>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</si>
  <si>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</si>
  <si>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</si>
  <si>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</si>
  <si>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</si>
  <si>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</si>
  <si>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</si>
  <si>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</si>
  <si>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</si>
  <si>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</si>
  <si>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</si>
  <si>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</si>
  <si>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</si>
  <si>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</si>
  <si>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</si>
  <si>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</si>
  <si>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</si>
  <si>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</si>
  <si>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</si>
  <si>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</si>
  <si>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</si>
  <si>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</si>
  <si>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</si>
  <si>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</si>
  <si>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</si>
  <si>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</si>
  <si>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</si>
  <si>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</si>
  <si>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</si>
  <si>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</si>
  <si>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</si>
  <si>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</si>
  <si>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</si>
  <si>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</si>
  <si>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</si>
  <si>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</si>
  <si>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</si>
  <si>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</si>
  <si>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</si>
  <si>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</si>
  <si>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</si>
  <si>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</si>
  <si>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</si>
  <si>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</si>
  <si>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</si>
  <si>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</si>
  <si>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</si>
  <si>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</si>
  <si>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</si>
  <si>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</si>
  <si>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</si>
  <si>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</si>
  <si>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</si>
  <si>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</si>
  <si>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</si>
  <si>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</si>
  <si>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</si>
  <si>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</si>
  <si>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</si>
  <si>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</si>
  <si>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</si>
  <si>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</si>
  <si>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</si>
  <si>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</si>
  <si>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</si>
  <si>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</si>
  <si>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</si>
  <si>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</si>
  <si>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</si>
  <si>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</si>
  <si>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</si>
  <si>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</si>
  <si>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</si>
  <si>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</si>
  <si>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</si>
  <si>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</si>
  <si>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</si>
  <si>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</si>
  <si>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</si>
  <si>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</si>
  <si>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</si>
  <si>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</si>
  <si>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</si>
  <si>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</si>
  <si>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</si>
  <si>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</si>
  <si>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</si>
  <si>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</si>
  <si>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</si>
  <si>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</si>
  <si>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</si>
  <si>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</si>
  <si>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</si>
  <si>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</si>
  <si>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</si>
  <si>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</si>
  <si>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</si>
  <si>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</si>
  <si>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</si>
  <si>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</si>
  <si>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</si>
  <si>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</si>
  <si>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</si>
  <si>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</si>
  <si>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</si>
  <si>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</si>
  <si>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</si>
  <si>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</si>
  <si>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</si>
  <si>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</si>
  <si>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</si>
  <si>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</si>
  <si>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</si>
  <si>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</si>
  <si>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</si>
  <si>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</si>
  <si>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</si>
  <si>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</si>
  <si>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</si>
  <si>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</si>
  <si>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</si>
  <si>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</si>
  <si>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</si>
  <si>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</si>
  <si>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</si>
  <si>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</si>
  <si>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</si>
  <si>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</si>
  <si>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</si>
  <si>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</si>
  <si>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</si>
  <si>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</si>
  <si>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</si>
  <si>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</si>
  <si>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</si>
  <si>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</si>
  <si>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</si>
  <si>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</si>
  <si>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</si>
  <si>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</si>
  <si>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</si>
  <si>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</si>
  <si>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</si>
  <si>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</si>
  <si>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</si>
  <si>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</si>
  <si>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</si>
  <si>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</si>
  <si>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</si>
  <si>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</si>
  <si>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</si>
  <si>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</si>
  <si>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</si>
  <si>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</si>
  <si>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</si>
  <si>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</si>
  <si>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</si>
  <si>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</si>
  <si>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</si>
  <si>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</si>
  <si>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</si>
  <si>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</si>
  <si>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</si>
  <si>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</si>
  <si>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</si>
  <si>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</si>
  <si>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</si>
  <si>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</si>
  <si>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</si>
  <si>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</si>
  <si>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</si>
  <si>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</si>
  <si>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</si>
  <si>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</si>
  <si>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</si>
  <si>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</si>
  <si>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</si>
  <si>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</si>
  <si>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</si>
  <si>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</si>
  <si>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</si>
  <si>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</si>
  <si>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</si>
  <si>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</si>
  <si>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</si>
  <si>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</si>
  <si>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</si>
  <si>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</si>
  <si>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</si>
  <si>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</si>
  <si>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</si>
  <si>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</si>
  <si>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</si>
  <si>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</si>
  <si>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</si>
  <si>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</si>
  <si>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</si>
  <si>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</si>
  <si>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</si>
  <si>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</si>
  <si>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</si>
  <si>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</si>
  <si>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</si>
  <si>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</si>
  <si>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</si>
  <si>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</si>
  <si>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</si>
  <si>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</si>
  <si>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</si>
  <si>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</si>
  <si>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</si>
  <si>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</si>
  <si>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</si>
  <si>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</si>
  <si>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</si>
  <si>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</si>
  <si>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</si>
  <si>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</si>
  <si>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</si>
  <si>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</si>
  <si>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</si>
  <si>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</si>
  <si>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</si>
  <si>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</si>
  <si>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</si>
  <si>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</si>
  <si>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</si>
  <si>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</si>
  <si>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</si>
  <si>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</si>
  <si>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</si>
  <si>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</si>
  <si>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</si>
  <si>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</si>
  <si>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</si>
  <si>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</si>
  <si>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</si>
  <si>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</si>
  <si>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</si>
  <si>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</si>
  <si>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</si>
  <si>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</si>
  <si>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</si>
  <si>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</si>
  <si>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</si>
  <si>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</si>
  <si>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</si>
  <si>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</si>
  <si>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</si>
  <si>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</si>
  <si>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</si>
  <si>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</si>
  <si>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</si>
  <si>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</si>
  <si>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</si>
  <si>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</si>
  <si>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</si>
  <si>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</si>
  <si>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</si>
  <si>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</si>
  <si>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</si>
  <si>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</si>
  <si>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</si>
  <si>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</si>
  <si>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</si>
  <si>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</si>
  <si>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</si>
  <si>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</si>
  <si>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</si>
  <si>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</si>
  <si>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</si>
  <si>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</si>
  <si>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</si>
  <si>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</si>
  <si>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</si>
  <si>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</si>
  <si>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</si>
  <si>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</si>
  <si>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</si>
  <si>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</si>
  <si>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</si>
  <si>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</si>
  <si>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</si>
  <si>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</si>
  <si>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</si>
  <si>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</si>
  <si>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</si>
  <si>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</si>
  <si>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</si>
  <si>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</si>
  <si>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</si>
  <si>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</si>
  <si>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</si>
  <si>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</si>
  <si>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</si>
  <si>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</si>
  <si>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</si>
  <si>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</si>
  <si>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</si>
  <si>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</si>
  <si>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</si>
  <si>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</si>
  <si>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</si>
  <si>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</si>
  <si>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</si>
  <si>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</si>
  <si>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</si>
  <si>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</si>
  <si>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</si>
  <si>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</si>
  <si>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</si>
  <si>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</si>
  <si>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</si>
  <si>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</si>
  <si>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</si>
  <si>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</si>
  <si>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</si>
  <si>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</si>
  <si>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</si>
  <si>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</si>
  <si>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</si>
  <si>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</si>
  <si>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</si>
  <si>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</si>
  <si>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</si>
  <si>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</si>
  <si>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</si>
  <si>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</si>
  <si>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</si>
  <si>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</si>
  <si>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</si>
  <si>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</si>
  <si>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</si>
  <si>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</si>
  <si>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</si>
  <si>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</si>
  <si>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</si>
  <si>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</si>
  <si>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</si>
  <si>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</si>
  <si>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</si>
  <si>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</si>
  <si>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</si>
  <si>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</si>
  <si>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</si>
  <si>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</si>
  <si>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</si>
  <si>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</si>
  <si>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</si>
  <si>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</si>
  <si>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</si>
  <si>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</si>
  <si>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</si>
  <si>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</si>
  <si>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</si>
  <si>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</si>
  <si>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</si>
  <si>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</si>
  <si>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</si>
  <si>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</si>
  <si>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</si>
  <si>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</si>
  <si>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</si>
  <si>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</si>
  <si>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</si>
  <si>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</si>
  <si>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</si>
  <si>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</si>
  <si>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</si>
  <si>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</si>
  <si>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</si>
  <si>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</si>
  <si>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</si>
  <si>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</si>
  <si>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</si>
  <si>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</si>
  <si>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</si>
  <si>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</si>
  <si>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</si>
  <si>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</si>
  <si>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</si>
  <si>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</si>
  <si>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</si>
  <si>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</si>
  <si>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</si>
  <si>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</si>
  <si>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</si>
  <si>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</si>
  <si>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</si>
  <si>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</si>
  <si>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</si>
  <si>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</si>
  <si>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</si>
  <si>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</si>
  <si>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</si>
  <si>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</si>
  <si>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</si>
  <si>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</si>
  <si>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</si>
  <si>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</si>
  <si>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</si>
  <si>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</si>
  <si>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</si>
  <si>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</si>
  <si>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</si>
  <si>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</si>
  <si>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</si>
  <si>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</si>
  <si>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</si>
  <si>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</si>
  <si>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</si>
  <si>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</si>
  <si>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</si>
  <si>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</si>
  <si>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</si>
  <si>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</si>
  <si>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</si>
  <si>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</si>
  <si>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</si>
  <si>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</si>
  <si>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</si>
  <si>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</si>
  <si>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</si>
  <si>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</si>
  <si>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</si>
  <si>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</si>
  <si>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</si>
  <si>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</si>
  <si>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</si>
  <si>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</si>
  <si>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</si>
  <si>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</si>
  <si>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</si>
  <si>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</si>
  <si>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</si>
  <si>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</si>
  <si>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</si>
  <si>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</si>
  <si>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</si>
  <si>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</si>
  <si>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</si>
  <si>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</si>
  <si>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</si>
  <si>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</si>
  <si>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</si>
  <si>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</si>
  <si>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</si>
  <si>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</si>
  <si>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</si>
  <si>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</si>
  <si>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</si>
  <si>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</si>
  <si>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</si>
  <si>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</si>
  <si>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</si>
  <si>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</si>
  <si>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</si>
  <si>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</si>
  <si>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</si>
  <si>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</si>
  <si>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</si>
  <si>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</si>
  <si>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</si>
  <si>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</si>
  <si>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</si>
  <si>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</si>
  <si>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</si>
  <si>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</si>
  <si>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</si>
  <si>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</si>
  <si>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</si>
  <si>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</si>
  <si>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</si>
  <si>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</si>
  <si>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</si>
  <si>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</si>
  <si>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</si>
  <si>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</si>
  <si>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</si>
  <si>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</si>
  <si>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</si>
  <si>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</si>
  <si>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</si>
  <si>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</si>
  <si>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</si>
  <si>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</si>
  <si>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</si>
  <si>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</si>
  <si>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</si>
  <si>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</si>
  <si>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</si>
  <si>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</si>
  <si>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</si>
  <si>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</si>
  <si>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</si>
  <si>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</si>
  <si>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</si>
  <si>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</si>
  <si>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</si>
  <si>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</si>
  <si>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</si>
  <si>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</si>
  <si>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</si>
  <si>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</si>
  <si>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</si>
  <si>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</si>
  <si>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</si>
  <si>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</si>
  <si>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</si>
  <si>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</si>
  <si>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</si>
  <si>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</si>
  <si>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</si>
  <si>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</si>
  <si>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</si>
  <si>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</si>
  <si>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</si>
  <si>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</si>
  <si>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</si>
  <si>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</si>
  <si>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</si>
  <si>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</si>
  <si>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</si>
  <si>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</si>
  <si>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</si>
  <si>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</si>
  <si>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</si>
  <si>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</si>
  <si>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</si>
  <si>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</si>
  <si>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</si>
  <si>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</si>
  <si>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</si>
  <si>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</si>
  <si>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</si>
  <si>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</si>
  <si>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</si>
  <si>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</si>
  <si>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</si>
  <si>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</si>
  <si>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</si>
  <si>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</si>
  <si>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</si>
  <si>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</si>
  <si>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</si>
  <si>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</si>
  <si>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</si>
  <si>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</si>
  <si>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</si>
  <si>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</si>
  <si>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</si>
  <si>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</si>
  <si>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</si>
  <si>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</si>
  <si>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</si>
  <si>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</si>
  <si>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</si>
  <si>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</si>
  <si>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</si>
  <si>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</si>
  <si>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</si>
  <si>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</si>
  <si>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</si>
  <si>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</si>
  <si>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</si>
  <si>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</si>
  <si>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</si>
  <si>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</si>
  <si>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</si>
  <si>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</si>
  <si>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</si>
  <si>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</si>
  <si>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</si>
  <si>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</si>
  <si>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</si>
  <si>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</si>
  <si>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</si>
  <si>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</si>
  <si>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</si>
  <si>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</si>
  <si>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</si>
  <si>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</si>
  <si>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</si>
  <si>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</si>
  <si>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</si>
  <si>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</si>
  <si>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</si>
  <si>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</si>
  <si>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</si>
  <si>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</si>
  <si>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</si>
  <si>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</si>
  <si>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</si>
  <si>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</si>
  <si>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</si>
  <si>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</si>
  <si>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</si>
  <si>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</si>
  <si>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</si>
  <si>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</si>
  <si>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</si>
  <si>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</si>
  <si>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</si>
  <si>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</si>
  <si>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</si>
  <si>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</si>
  <si>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</si>
  <si>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</si>
  <si>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</si>
  <si>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</si>
  <si>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</si>
  <si>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</si>
  <si>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</si>
  <si>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</si>
  <si>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</si>
  <si>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</si>
  <si>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</si>
  <si>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</si>
  <si>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</si>
  <si>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</si>
  <si>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</si>
  <si>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</si>
  <si>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</si>
  <si>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</si>
  <si>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</si>
  <si>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</si>
  <si>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</si>
  <si>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</si>
  <si>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</si>
  <si>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</si>
  <si>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</si>
  <si>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</si>
  <si>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</si>
  <si>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</si>
  <si>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</si>
  <si>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</si>
  <si>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</si>
  <si>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</si>
  <si>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</si>
  <si>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</si>
  <si>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</si>
  <si>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</si>
  <si>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</si>
  <si>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</si>
  <si>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</si>
  <si>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</si>
  <si>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</si>
  <si>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</si>
  <si>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</si>
  <si>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</si>
  <si>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</si>
  <si>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</si>
  <si>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</si>
  <si>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</si>
  <si>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</si>
  <si>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</si>
  <si>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</si>
  <si>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</si>
  <si>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</si>
  <si>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</si>
  <si>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</si>
  <si>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</si>
  <si>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</si>
  <si>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</si>
  <si>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</si>
  <si>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</si>
  <si>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</si>
  <si>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</si>
  <si>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</si>
  <si>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</si>
  <si>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</si>
  <si>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</si>
  <si>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</si>
  <si>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</si>
  <si>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</si>
  <si>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</si>
  <si>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</si>
  <si>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</si>
  <si>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</si>
  <si>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</si>
  <si>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</si>
  <si>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</si>
  <si>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</si>
  <si>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</si>
  <si>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</si>
  <si>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</si>
  <si>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</si>
  <si>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</si>
  <si>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</si>
  <si>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</si>
  <si>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</si>
  <si>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</si>
  <si>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</si>
  <si>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</si>
  <si>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</si>
  <si>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</si>
  <si>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</si>
  <si>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</si>
  <si>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</si>
  <si>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</si>
  <si>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</si>
  <si>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</si>
  <si>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</si>
  <si>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</si>
  <si>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</si>
  <si>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</si>
  <si>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</si>
  <si>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</si>
  <si>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</si>
  <si>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</si>
  <si>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</si>
  <si>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</si>
  <si>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</si>
  <si>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</si>
  <si>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</si>
  <si>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</si>
  <si>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</si>
  <si>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</si>
  <si>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</si>
  <si>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</si>
  <si>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</si>
  <si>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</si>
  <si>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</si>
  <si>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</si>
  <si>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</si>
  <si>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</si>
  <si>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</si>
  <si>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</si>
  <si>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</si>
  <si>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</si>
  <si>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</si>
  <si>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</si>
  <si>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</si>
  <si>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</si>
  <si>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</si>
  <si>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</si>
  <si>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</si>
  <si>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</si>
  <si>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</si>
  <si>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</si>
  <si>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</si>
  <si>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</si>
  <si>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</si>
  <si>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</si>
  <si>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</si>
  <si>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</si>
  <si>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</si>
  <si>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</si>
  <si>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</si>
  <si>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</si>
  <si>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</si>
  <si>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</si>
  <si>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</si>
  <si>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</si>
  <si>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</si>
  <si>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</si>
  <si>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</si>
  <si>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</si>
  <si>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</si>
  <si>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</si>
  <si>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</si>
  <si>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</si>
  <si>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</si>
  <si>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</si>
  <si>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</si>
  <si>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</si>
  <si>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</si>
  <si>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</si>
  <si>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</si>
  <si>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</si>
  <si>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</si>
  <si>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</si>
  <si>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</si>
  <si>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</si>
  <si>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</si>
  <si>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</si>
  <si>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</si>
  <si>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</si>
  <si>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</si>
  <si>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</si>
  <si>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</si>
  <si>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</si>
  <si>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</si>
  <si>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</si>
  <si>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</si>
  <si>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</si>
  <si>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</si>
  <si>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</si>
  <si>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</si>
  <si>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</si>
  <si>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</si>
  <si>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</si>
  <si>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</si>
  <si>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</si>
  <si>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</si>
  <si>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</si>
  <si>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</si>
  <si>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</si>
  <si>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</si>
  <si>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</si>
  <si>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</si>
  <si>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</si>
  <si>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</si>
  <si>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</si>
  <si>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</si>
  <si>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</si>
  <si>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</si>
  <si>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</si>
  <si>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</si>
  <si>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</si>
  <si>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</si>
  <si>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</si>
  <si>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</si>
  <si>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</si>
  <si>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</si>
  <si>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</si>
  <si>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</si>
  <si>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</si>
  <si>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</si>
  <si>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</si>
  <si>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</si>
  <si>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</si>
  <si>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</si>
  <si>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</si>
  <si>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</si>
  <si>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</si>
  <si>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</si>
  <si>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</si>
  <si>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</si>
  <si>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</si>
  <si>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</si>
  <si>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</si>
  <si>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</si>
  <si>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</si>
  <si>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</si>
  <si>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</si>
  <si>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</si>
  <si>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</si>
  <si>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</si>
  <si>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</si>
  <si>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</si>
  <si>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</si>
  <si>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</si>
  <si>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</si>
  <si>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</si>
  <si>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</si>
  <si>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</si>
  <si>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</si>
  <si>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</si>
  <si>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</si>
  <si>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</si>
  <si>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</si>
  <si>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</si>
  <si>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</si>
  <si>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</si>
  <si>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</si>
  <si>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</si>
  <si>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</si>
  <si>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</si>
  <si>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</si>
  <si>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</si>
  <si>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</si>
  <si>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</si>
  <si>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</si>
  <si>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</si>
  <si>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</si>
  <si>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</si>
  <si>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</si>
  <si>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</si>
  <si>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</si>
  <si>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</si>
  <si>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</si>
  <si>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</si>
  <si>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</si>
  <si>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</si>
  <si>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</si>
  <si>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</si>
  <si>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</si>
  <si>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</si>
  <si>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</si>
  <si>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</si>
  <si>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</si>
  <si>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</si>
  <si>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</si>
  <si>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</si>
  <si>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</si>
  <si>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</si>
  <si>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</si>
  <si>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</si>
  <si>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</si>
  <si>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</si>
  <si>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</si>
  <si>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</si>
  <si>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</si>
  <si>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</si>
  <si>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</si>
  <si>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</si>
  <si>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</si>
  <si>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</si>
  <si>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</si>
  <si>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</si>
  <si>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</si>
  <si>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</si>
  <si>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</si>
  <si>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</si>
  <si>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</si>
  <si>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</si>
  <si>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</si>
  <si>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</si>
  <si>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</si>
  <si>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</si>
  <si>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</si>
  <si>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</si>
  <si>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</si>
  <si>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</si>
  <si>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</si>
  <si>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</si>
  <si>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</si>
  <si>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</si>
  <si>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</si>
  <si>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</si>
  <si>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</si>
  <si>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</si>
  <si>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</si>
  <si>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</si>
  <si>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</si>
  <si>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</si>
  <si>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</si>
  <si>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</si>
  <si>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</si>
  <si>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</si>
  <si>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</si>
  <si>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</si>
  <si>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</si>
  <si>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</si>
  <si>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</si>
  <si>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</si>
  <si>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</si>
  <si>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</si>
  <si>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</si>
  <si>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</si>
  <si>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</si>
  <si>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</si>
  <si>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</si>
  <si>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</si>
  <si>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</si>
  <si>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</si>
  <si>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</si>
  <si>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</si>
  <si>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</si>
  <si>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</si>
  <si>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</si>
  <si>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</si>
  <si>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</si>
  <si>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</si>
  <si>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</si>
  <si>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</si>
  <si>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</si>
  <si>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</si>
  <si>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</si>
  <si>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</si>
  <si>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</si>
  <si>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</si>
  <si>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</si>
  <si>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</si>
  <si>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</si>
  <si>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</si>
  <si>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</si>
  <si>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</si>
  <si>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</si>
  <si>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</si>
  <si>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</si>
  <si>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</si>
  <si>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</si>
  <si>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</si>
  <si>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</si>
  <si>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</si>
  <si>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</si>
  <si>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</si>
  <si>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</si>
  <si>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</si>
  <si>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</si>
  <si>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</si>
  <si>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</si>
  <si>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</si>
  <si>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</si>
  <si>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</si>
  <si>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</si>
  <si>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</si>
  <si>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</si>
  <si>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</si>
  <si>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</si>
  <si>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</si>
  <si>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</si>
  <si>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</si>
  <si>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</si>
  <si>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</si>
  <si>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</si>
  <si>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</si>
  <si>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</si>
  <si>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</si>
  <si>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</si>
  <si>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</si>
  <si>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</si>
  <si>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</si>
  <si>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</si>
  <si>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</si>
  <si>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</si>
  <si>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</si>
  <si>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</si>
  <si>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</si>
  <si>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</si>
  <si>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</si>
  <si>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</si>
  <si>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</si>
  <si>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</si>
  <si>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</si>
  <si>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</si>
  <si>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</si>
  <si>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</si>
  <si>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</si>
  <si>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</si>
  <si>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</si>
  <si>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</si>
  <si>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</si>
  <si>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</si>
  <si>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</si>
  <si>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</si>
  <si>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</si>
  <si>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</si>
  <si>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</si>
  <si>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</si>
  <si>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</si>
  <si>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</si>
  <si>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</si>
  <si>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</si>
  <si>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</si>
  <si>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</si>
  <si>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</si>
  <si>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</si>
  <si>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</si>
  <si>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</si>
  <si>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</si>
  <si>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</si>
  <si>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</si>
  <si>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</si>
  <si>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</si>
  <si>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</si>
  <si>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</si>
  <si>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</si>
  <si>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</si>
  <si>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</si>
  <si>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</si>
  <si>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</si>
  <si>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</si>
  <si>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</si>
  <si>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</si>
  <si>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</si>
  <si>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</si>
  <si>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</si>
  <si>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</si>
  <si>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</si>
  <si>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</si>
  <si>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</si>
  <si>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</si>
  <si>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</si>
  <si>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</si>
  <si>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</si>
  <si>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</si>
  <si>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</si>
  <si>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</si>
  <si>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</si>
  <si>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</si>
  <si>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</si>
  <si>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</si>
  <si>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</si>
  <si>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</si>
  <si>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</si>
  <si>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</si>
  <si>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</si>
  <si>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</si>
  <si>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</si>
  <si>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</si>
  <si>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</si>
  <si>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</si>
  <si>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</si>
  <si>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</si>
  <si>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</si>
  <si>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</si>
  <si>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</si>
  <si>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</si>
  <si>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</si>
  <si>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</si>
  <si>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</si>
  <si>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</si>
  <si>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</si>
  <si>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</si>
  <si>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</si>
  <si>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</si>
  <si>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</si>
  <si>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</si>
  <si>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</si>
  <si>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</si>
  <si>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</si>
  <si>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</si>
  <si>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</si>
  <si>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</si>
  <si>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</si>
  <si>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</si>
  <si>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</si>
  <si>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</si>
  <si>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</si>
  <si>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</si>
  <si>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</si>
  <si>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</si>
  <si>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</si>
  <si>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</si>
  <si>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</si>
  <si>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</si>
  <si>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</si>
  <si>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</si>
  <si>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</si>
  <si>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</si>
  <si>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</si>
  <si>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</si>
  <si>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</si>
  <si>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</si>
  <si>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</si>
  <si>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</si>
  <si>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</si>
  <si>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</si>
  <si>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</si>
  <si>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</si>
  <si>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</si>
  <si>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</si>
  <si>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</si>
  <si>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</si>
  <si>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</si>
  <si>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</si>
  <si>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</si>
  <si>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</si>
  <si>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</si>
  <si>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</si>
  <si>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</si>
  <si>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</si>
  <si>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</si>
  <si>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</si>
  <si>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</si>
  <si>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</si>
  <si>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</si>
  <si>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</si>
  <si>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</si>
  <si>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</si>
  <si>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</si>
  <si>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</si>
  <si>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</si>
  <si>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</si>
  <si>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</si>
  <si>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</si>
  <si>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</si>
  <si>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</si>
  <si>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</si>
  <si>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</si>
  <si>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</si>
  <si>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</si>
  <si>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</si>
  <si>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</si>
  <si>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</si>
  <si>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</si>
  <si>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</si>
  <si>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</si>
  <si>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</si>
  <si>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</si>
  <si>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</si>
  <si>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</si>
  <si>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</si>
  <si>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</si>
  <si>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</si>
  <si>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</si>
  <si>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</si>
  <si>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</si>
  <si>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</si>
  <si>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</si>
  <si>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</si>
  <si>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</si>
  <si>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</si>
  <si>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</si>
  <si>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</si>
  <si>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</si>
  <si>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</si>
  <si>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</si>
  <si>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</si>
  <si>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</si>
  <si>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</si>
  <si>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</si>
  <si>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</si>
  <si>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</si>
  <si>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</si>
  <si>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</si>
  <si>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</si>
  <si>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</si>
  <si>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</si>
  <si>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</si>
  <si>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</si>
  <si>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</si>
  <si>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</si>
  <si>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</si>
  <si>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</si>
  <si>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</si>
  <si>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</si>
  <si>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</si>
  <si>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</si>
  <si>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</si>
  <si>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</si>
  <si>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</si>
  <si>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</si>
  <si>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</si>
  <si>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</si>
  <si>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</si>
  <si>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</si>
  <si>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</si>
  <si>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</si>
  <si>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</si>
  <si>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</si>
  <si>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</si>
  <si>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</si>
  <si>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</si>
  <si>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</si>
  <si>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</si>
  <si>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</si>
  <si>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</si>
  <si>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</si>
  <si>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</si>
  <si>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</si>
  <si>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</si>
  <si>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</si>
  <si>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</si>
  <si>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</si>
  <si>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</si>
  <si>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</si>
  <si>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</si>
  <si>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</si>
  <si>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</si>
  <si>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</si>
  <si>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</si>
  <si>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</si>
  <si>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</si>
  <si>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</si>
  <si>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</si>
  <si>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</si>
  <si>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</si>
  <si>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</si>
  <si>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</si>
  <si>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</si>
  <si>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</si>
  <si>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</si>
  <si>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</si>
  <si>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</si>
  <si>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</si>
  <si>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</si>
  <si>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</si>
  <si>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</si>
  <si>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</si>
  <si>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</si>
  <si>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</si>
  <si>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</si>
  <si>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</si>
  <si>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</si>
  <si>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</si>
  <si>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</si>
  <si>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</si>
  <si>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</si>
  <si>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</si>
  <si>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</si>
  <si>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</si>
  <si>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</si>
  <si>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</si>
  <si>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</si>
  <si>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</si>
  <si>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</si>
  <si>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</si>
  <si>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</si>
  <si>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</si>
  <si>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</si>
  <si>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</si>
  <si>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</si>
  <si>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</si>
  <si>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</si>
  <si>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</si>
  <si>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</si>
  <si>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</si>
  <si>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</si>
  <si>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</si>
  <si>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</si>
  <si>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</si>
  <si>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</si>
  <si>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</si>
  <si>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</si>
  <si>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</si>
  <si>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</si>
  <si>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</si>
  <si>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</si>
  <si>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</si>
  <si>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</si>
  <si>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</si>
  <si>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</si>
  <si>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</si>
  <si>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</si>
  <si>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</si>
  <si>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</si>
  <si>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</si>
  <si>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</si>
  <si>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</si>
  <si>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</si>
  <si>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</si>
  <si>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</si>
  <si>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</si>
  <si>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</si>
  <si>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</si>
  <si>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</si>
  <si>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</si>
  <si>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</si>
  <si>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</si>
  <si>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</si>
  <si>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</si>
  <si>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</si>
  <si>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</si>
  <si>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</si>
  <si>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</si>
  <si>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</si>
  <si>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</si>
  <si>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</si>
  <si>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</si>
  <si>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</si>
  <si>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</si>
  <si>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</si>
  <si>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</si>
  <si>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</si>
  <si>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</si>
  <si>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</si>
  <si>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</si>
  <si>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</si>
  <si>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</si>
  <si>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</si>
  <si>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</si>
  <si>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</si>
  <si>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</si>
  <si>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</si>
  <si>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</si>
  <si>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</si>
  <si>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</si>
  <si>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</si>
  <si>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</si>
  <si>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</si>
  <si>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</si>
  <si>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</si>
  <si>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</si>
  <si>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</si>
  <si>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</si>
  <si>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</si>
  <si>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</si>
  <si>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</si>
  <si>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</si>
  <si>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</si>
  <si>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</si>
  <si>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</si>
  <si>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</si>
  <si>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</si>
  <si>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</si>
  <si>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</si>
  <si>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</si>
  <si>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</si>
  <si>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</si>
  <si>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</si>
  <si>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</si>
  <si>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</si>
  <si>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</si>
  <si>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</si>
  <si>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</si>
  <si>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</si>
  <si>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</si>
  <si>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</si>
  <si>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</si>
  <si>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</si>
  <si>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</si>
  <si>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</si>
  <si>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</si>
  <si>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</si>
  <si>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</si>
  <si>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</si>
  <si>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</si>
  <si>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</si>
  <si>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</si>
  <si>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</si>
  <si>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</si>
  <si>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</si>
  <si>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</si>
  <si>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</si>
  <si>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</si>
  <si>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</si>
  <si>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</si>
  <si>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</si>
  <si>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</si>
  <si>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</si>
  <si>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</si>
  <si>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</si>
  <si>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</si>
  <si>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</si>
  <si>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</si>
  <si>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</si>
  <si>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</si>
  <si>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</si>
  <si>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</si>
  <si>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</si>
  <si>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</si>
  <si>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</si>
  <si>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</si>
  <si>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</si>
  <si>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</si>
  <si>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</si>
  <si>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</si>
  <si>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</si>
  <si>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</si>
  <si>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</si>
  <si>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</si>
  <si>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</si>
  <si>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</si>
  <si>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</si>
  <si>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</si>
  <si>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</si>
  <si>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</si>
  <si>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</si>
  <si>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</si>
  <si>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</si>
  <si>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</si>
  <si>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</si>
  <si>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</si>
  <si>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</si>
  <si>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</si>
  <si>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</si>
  <si>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</si>
  <si>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</si>
  <si>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</si>
  <si>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</si>
  <si>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</si>
  <si>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</si>
  <si>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</si>
  <si>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</si>
  <si>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</si>
  <si>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</si>
  <si>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</si>
  <si>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</si>
  <si>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</si>
  <si>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</si>
  <si>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</si>
  <si>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</si>
  <si>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</si>
  <si>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</si>
  <si>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</si>
  <si>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</si>
  <si>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</si>
  <si>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</si>
  <si>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</si>
  <si>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</si>
  <si>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</si>
  <si>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</si>
  <si>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</si>
  <si>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</si>
  <si>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</si>
  <si>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</si>
  <si>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</si>
  <si>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</si>
  <si>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</si>
  <si>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</si>
  <si>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</si>
  <si>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</si>
  <si>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</si>
  <si>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</si>
  <si>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</si>
  <si>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</si>
  <si>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</si>
  <si>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</si>
  <si>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</si>
  <si>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</si>
  <si>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</si>
  <si>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</si>
  <si>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</si>
  <si>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</si>
  <si>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</si>
  <si>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</si>
  <si>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</si>
  <si>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</si>
  <si>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</si>
  <si>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</si>
  <si>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</si>
  <si>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</si>
  <si>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</si>
  <si>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</si>
  <si>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</si>
  <si>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</si>
  <si>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</si>
  <si>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</si>
  <si>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</si>
  <si>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</si>
  <si>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</si>
  <si>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</si>
  <si>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</si>
  <si>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</si>
  <si>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</si>
  <si>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</si>
  <si>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</si>
  <si>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</si>
  <si>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</si>
  <si>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</si>
  <si>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</si>
  <si>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</si>
  <si>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</si>
  <si>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</si>
  <si>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</si>
  <si>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</si>
  <si>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</si>
  <si>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</si>
  <si>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</si>
  <si>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</si>
  <si>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</si>
  <si>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</si>
  <si>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</si>
  <si>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</si>
  <si>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</si>
  <si>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</si>
  <si>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</si>
  <si>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</si>
  <si>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</si>
  <si>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</si>
  <si>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</si>
  <si>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</si>
  <si>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</si>
  <si>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</si>
  <si>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</si>
  <si>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</si>
  <si>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</si>
  <si>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</si>
  <si>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</si>
  <si>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</si>
  <si>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</si>
  <si>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</si>
  <si>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</si>
  <si>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</si>
  <si>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</si>
  <si>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</si>
  <si>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</si>
  <si>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</si>
  <si>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</si>
  <si>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</si>
  <si>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</si>
  <si>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</si>
  <si>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</si>
  <si>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</si>
  <si>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</si>
  <si>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</si>
  <si>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</si>
  <si>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</si>
  <si>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</si>
  <si>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</si>
  <si>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</si>
  <si>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</si>
  <si>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</si>
  <si>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</si>
  <si>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</si>
  <si>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</si>
  <si>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</si>
  <si>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</si>
  <si>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</si>
  <si>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</si>
  <si>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</si>
  <si>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</si>
  <si>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</si>
  <si>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</si>
  <si>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</si>
  <si>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</si>
  <si>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</si>
  <si>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</si>
  <si>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</si>
  <si>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</si>
  <si>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</si>
  <si>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</si>
  <si>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</si>
  <si>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</si>
  <si>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</si>
  <si>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</si>
  <si>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</si>
  <si>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</si>
  <si>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</si>
  <si>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</si>
  <si>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</si>
  <si>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</si>
  <si>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</si>
  <si>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</si>
  <si>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</si>
  <si>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</si>
  <si>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</si>
  <si>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</si>
  <si>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</si>
  <si>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</si>
  <si>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</si>
  <si>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</si>
  <si>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</si>
  <si>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</si>
  <si>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</si>
  <si>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</si>
  <si>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</si>
  <si>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</si>
  <si>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</si>
  <si>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</si>
  <si>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</si>
  <si>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</si>
  <si>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</si>
  <si>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</si>
  <si>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</si>
  <si>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</si>
  <si>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</si>
  <si>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</si>
  <si>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</si>
  <si>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</si>
  <si>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</si>
  <si>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</si>
  <si>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</si>
  <si>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</si>
  <si>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</si>
  <si>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</si>
  <si>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</si>
  <si>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</si>
  <si>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</si>
  <si>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</si>
  <si>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</si>
  <si>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</si>
  <si>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</si>
  <si>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</si>
  <si>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</si>
  <si>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</si>
  <si>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</si>
  <si>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</si>
  <si>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</si>
  <si>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</si>
  <si>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</si>
  <si>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</si>
  <si>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</si>
  <si>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</si>
  <si>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</si>
  <si>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</si>
  <si>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</si>
  <si>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</si>
  <si>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</si>
  <si>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</si>
  <si>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</si>
  <si>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</si>
  <si>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</si>
  <si>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</si>
  <si>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</si>
  <si>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</si>
  <si>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</si>
  <si>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</si>
  <si>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</si>
  <si>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</si>
  <si>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</si>
  <si>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</si>
  <si>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</si>
  <si>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</si>
  <si>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</si>
  <si>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</si>
  <si>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</si>
  <si>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</si>
  <si>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</si>
  <si>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</si>
  <si>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</si>
  <si>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</si>
  <si>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</si>
  <si>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</si>
  <si>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</si>
  <si>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</si>
  <si>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</si>
  <si>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</si>
  <si>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</si>
  <si>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</si>
  <si>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</si>
  <si>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</si>
  <si>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</si>
  <si>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</si>
  <si>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</si>
  <si>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</si>
  <si>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</si>
  <si>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</si>
  <si>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</si>
  <si>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</si>
  <si>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</si>
  <si>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</si>
  <si>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</si>
  <si>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</si>
  <si>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</si>
  <si>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</si>
  <si>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</si>
  <si>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</si>
  <si>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</si>
  <si>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</si>
  <si>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</si>
  <si>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</si>
  <si>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</si>
  <si>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</si>
  <si>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</si>
  <si>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</si>
  <si>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</si>
  <si>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</si>
  <si>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</si>
  <si>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</si>
  <si>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</si>
  <si>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</si>
  <si>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</si>
  <si>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</si>
  <si>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</si>
  <si>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</si>
  <si>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</si>
  <si>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</si>
  <si>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</si>
  <si>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</si>
  <si>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</si>
  <si>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</si>
  <si>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</si>
  <si>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</si>
  <si>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</si>
  <si>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</si>
  <si>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</si>
  <si>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</si>
  <si>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</si>
  <si>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</si>
  <si>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</si>
  <si>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</si>
  <si>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</si>
  <si>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</si>
  <si>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</si>
  <si>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</si>
  <si>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</si>
  <si>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</si>
  <si>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</si>
  <si>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</si>
  <si>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</si>
  <si>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</si>
  <si>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</si>
  <si>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</si>
  <si>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</si>
  <si>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</si>
  <si>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</si>
  <si>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</si>
  <si>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</si>
  <si>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</si>
  <si>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</si>
  <si>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</si>
  <si>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</si>
  <si>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</si>
  <si>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</si>
  <si>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</si>
  <si>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</si>
  <si>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</si>
  <si>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</si>
  <si>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</si>
  <si>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</si>
  <si>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</si>
  <si>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</si>
  <si>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</si>
  <si>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</si>
  <si>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</si>
  <si>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</si>
  <si>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</si>
  <si>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</si>
  <si>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</si>
  <si>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</si>
  <si>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</si>
  <si>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</si>
  <si>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</si>
  <si>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</si>
  <si>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</si>
  <si>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</si>
  <si>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</si>
  <si>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</si>
  <si>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</si>
  <si>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</si>
  <si>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</si>
  <si>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</si>
  <si>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</si>
  <si>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</si>
  <si>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</si>
  <si>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</si>
  <si>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</si>
  <si>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</si>
  <si>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</si>
  <si>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</si>
  <si>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</si>
  <si>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</si>
  <si>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</si>
  <si>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</si>
  <si>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</si>
  <si>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</si>
  <si>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</si>
  <si>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</si>
  <si>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</si>
  <si>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</si>
  <si>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</si>
  <si>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</si>
  <si>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</si>
  <si>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</si>
  <si>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</si>
  <si>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</si>
  <si>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</si>
  <si>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</si>
  <si>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</si>
  <si>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</si>
  <si>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</si>
  <si>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</si>
  <si>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</si>
  <si>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</si>
  <si>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</si>
  <si>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</si>
  <si>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</si>
  <si>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</si>
  <si>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</si>
  <si>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</si>
  <si>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</si>
  <si>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</si>
  <si>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</si>
  <si>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</si>
  <si>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</si>
  <si>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</si>
  <si>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</si>
  <si>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</si>
  <si>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</si>
  <si>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</si>
  <si>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</si>
  <si>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</si>
  <si>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</si>
  <si>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</si>
  <si>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</si>
  <si>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</si>
  <si>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</si>
  <si>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</si>
  <si>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</si>
  <si>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</si>
  <si>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</si>
  <si>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</si>
  <si>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</si>
  <si>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</si>
  <si>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</si>
  <si>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</si>
  <si>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</si>
  <si>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</si>
  <si>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</si>
  <si>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</si>
  <si>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</si>
  <si>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</si>
  <si>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</si>
  <si>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</si>
  <si>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</si>
  <si>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</si>
  <si>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</si>
  <si>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</si>
  <si>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</si>
  <si>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</si>
  <si>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</si>
  <si>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</si>
  <si>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</si>
  <si>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</si>
  <si>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</si>
  <si>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</si>
  <si>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</si>
  <si>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</si>
  <si>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</si>
  <si>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</si>
  <si>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</si>
  <si>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</si>
  <si>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</si>
  <si>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</si>
  <si>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</si>
  <si>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</si>
  <si>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</si>
  <si>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</si>
  <si>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</si>
  <si>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</si>
  <si>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</si>
  <si>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</si>
  <si>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</si>
  <si>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</si>
  <si>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</si>
  <si>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</si>
  <si>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</si>
  <si>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</si>
  <si>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</si>
  <si>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</si>
  <si>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</si>
  <si>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</si>
  <si>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</si>
  <si>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</si>
  <si>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</si>
  <si>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</si>
  <si>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</si>
  <si>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</si>
  <si>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</si>
  <si>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</si>
  <si>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</si>
  <si>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</si>
  <si>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</si>
  <si>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</si>
  <si>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</si>
  <si>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</si>
  <si>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</si>
  <si>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</si>
  <si>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</si>
  <si>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</si>
  <si>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</si>
  <si>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</si>
  <si>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</si>
  <si>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</si>
  <si>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</si>
  <si>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</si>
  <si>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</si>
  <si>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</si>
  <si>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</si>
  <si>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</si>
  <si>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</si>
  <si>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</si>
  <si>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</si>
  <si>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</si>
  <si>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</si>
  <si>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</si>
  <si>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</si>
  <si>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</si>
  <si>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</si>
  <si>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</si>
  <si>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</si>
  <si>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</si>
  <si>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</si>
  <si>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</si>
  <si>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</si>
  <si>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</si>
  <si>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</si>
  <si>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</si>
  <si>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</si>
  <si>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</si>
  <si>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</si>
  <si>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</si>
  <si>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</si>
  <si>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</si>
  <si>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</si>
  <si>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</si>
  <si>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</si>
  <si>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</si>
  <si>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</si>
  <si>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</si>
  <si>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</si>
  <si>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</si>
  <si>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</si>
  <si>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</si>
  <si>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</si>
  <si>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</si>
  <si>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</si>
  <si>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</si>
  <si>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</si>
  <si>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</si>
  <si>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</si>
  <si>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</si>
  <si>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</si>
  <si>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</si>
  <si>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</si>
  <si>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</si>
  <si>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</si>
  <si>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</si>
  <si>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</si>
  <si>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</si>
  <si>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</si>
  <si>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</si>
  <si>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</si>
  <si>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</si>
  <si>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</si>
  <si>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</si>
  <si>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</si>
  <si>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</si>
  <si>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</si>
  <si>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</si>
  <si>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</si>
  <si>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</si>
  <si>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</si>
  <si>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</si>
  <si>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</si>
  <si>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</si>
  <si>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</si>
  <si>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</si>
  <si>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</si>
  <si>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</si>
  <si>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</si>
  <si>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</si>
  <si>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</si>
  <si>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</si>
  <si>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</si>
  <si>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</si>
  <si>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</si>
  <si>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</si>
  <si>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</si>
  <si>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</si>
  <si>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</si>
  <si>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</si>
  <si>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</si>
  <si>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</si>
  <si>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</si>
  <si>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</si>
  <si>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</si>
  <si>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</si>
  <si>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</si>
  <si>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</si>
  <si>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</si>
  <si>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</si>
  <si>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</si>
  <si>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</si>
  <si>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</si>
  <si>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</si>
  <si>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</si>
  <si>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</si>
  <si>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</si>
  <si>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</si>
  <si>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</si>
  <si>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</si>
  <si>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</si>
  <si>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</si>
  <si>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</si>
  <si>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</si>
  <si>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</si>
  <si>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</si>
  <si>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</si>
  <si>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</si>
  <si>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</si>
  <si>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</si>
  <si>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</si>
  <si>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</si>
  <si>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</si>
  <si>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</si>
  <si>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</si>
  <si>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</si>
  <si>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</si>
  <si>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</si>
  <si>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</si>
  <si>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</si>
  <si>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</si>
  <si>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</si>
  <si>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</si>
  <si>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</si>
  <si>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</si>
  <si>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</si>
  <si>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</si>
  <si>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</si>
  <si>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</si>
  <si>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</si>
  <si>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</si>
  <si>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</si>
  <si>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</si>
  <si>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</si>
  <si>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</si>
  <si>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</si>
  <si>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</si>
  <si>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</si>
  <si>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</si>
  <si>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</si>
  <si>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</si>
  <si>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</si>
  <si>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</si>
  <si>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</si>
  <si>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</si>
  <si>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</si>
  <si>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</si>
  <si>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</si>
  <si>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</si>
  <si>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</si>
  <si>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</si>
  <si>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</si>
  <si>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</si>
  <si>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</si>
  <si>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</si>
  <si>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</si>
  <si>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</si>
  <si>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</si>
  <si>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</si>
  <si>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</si>
  <si>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</si>
  <si>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</si>
  <si>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</si>
  <si>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</si>
  <si>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</si>
  <si>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</si>
  <si>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</si>
  <si>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</si>
  <si>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</si>
  <si>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</si>
  <si>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</si>
  <si>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</si>
  <si>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</si>
  <si>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</si>
  <si>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</si>
  <si>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</si>
  <si>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</si>
  <si>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</si>
  <si>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</si>
  <si>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</si>
  <si>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</si>
  <si>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</si>
  <si>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</si>
  <si>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</si>
  <si>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</si>
  <si>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</si>
  <si>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</si>
  <si>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</si>
  <si>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</si>
  <si>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</si>
  <si>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</si>
  <si>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</si>
  <si>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</si>
  <si>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</si>
  <si>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</si>
  <si>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</si>
  <si>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</si>
  <si>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</si>
  <si>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</si>
  <si>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</si>
  <si>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</si>
  <si>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</si>
  <si>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</si>
  <si>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</si>
  <si>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</si>
  <si>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</si>
  <si>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</si>
  <si>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</si>
  <si>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</si>
  <si>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</si>
  <si>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</si>
  <si>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</si>
  <si>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</si>
  <si>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</si>
  <si>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</si>
  <si>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</si>
  <si>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</si>
  <si>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</si>
  <si>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</si>
  <si>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</si>
  <si>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</si>
  <si>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</si>
  <si>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</si>
  <si>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</si>
  <si>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</si>
  <si>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</si>
  <si>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</si>
  <si>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</si>
  <si>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</si>
  <si>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</si>
  <si>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</si>
  <si>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</si>
  <si>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</si>
  <si>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</si>
  <si>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</si>
  <si>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</si>
  <si>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</si>
  <si>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</si>
  <si>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</si>
  <si>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</si>
  <si>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</si>
  <si>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</si>
  <si>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</si>
  <si>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</si>
  <si>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</si>
  <si>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</si>
  <si>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</si>
  <si>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</si>
  <si>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</si>
  <si>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</si>
  <si>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</si>
  <si>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</si>
  <si>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</si>
  <si>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</si>
  <si>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</si>
  <si>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</si>
  <si>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</si>
  <si>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</si>
  <si>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</si>
  <si>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</si>
  <si>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</si>
  <si>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</si>
  <si>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</si>
  <si>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</si>
  <si>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</si>
  <si>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</si>
  <si>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</si>
  <si>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</si>
  <si>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</si>
  <si>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</si>
  <si>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</si>
  <si>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</si>
  <si>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</si>
  <si>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</si>
  <si>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</si>
  <si>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</si>
  <si>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</si>
  <si>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</si>
  <si>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</si>
  <si>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</si>
  <si>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</si>
  <si>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</si>
  <si>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</si>
  <si>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</si>
  <si>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</si>
  <si>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</si>
  <si>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</si>
  <si>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</si>
  <si>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</si>
  <si>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</si>
  <si>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</si>
  <si>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</si>
  <si>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</si>
  <si>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</si>
  <si>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</si>
  <si>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</si>
  <si>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</si>
  <si>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</si>
  <si>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</si>
  <si>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</si>
  <si>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</si>
  <si>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</si>
  <si>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</si>
  <si>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</si>
  <si>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</si>
  <si>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</si>
  <si>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</si>
  <si>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</si>
  <si>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</si>
  <si>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</si>
  <si>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</si>
  <si>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</si>
  <si>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</si>
  <si>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</si>
  <si>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</si>
  <si>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</si>
  <si>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</si>
  <si>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</si>
  <si>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</si>
  <si>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</si>
  <si>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</si>
  <si>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</si>
  <si>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</si>
  <si>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</si>
  <si>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</si>
  <si>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</si>
  <si>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</si>
  <si>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</si>
  <si>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</si>
  <si>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</si>
  <si>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</si>
  <si>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</si>
  <si>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</si>
  <si>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</si>
  <si>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</si>
  <si>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</si>
  <si>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</si>
  <si>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</si>
  <si>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</si>
  <si>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</si>
  <si>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</si>
  <si>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</si>
  <si>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</si>
  <si>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</si>
  <si>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</si>
  <si>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</si>
  <si>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</si>
  <si>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</si>
  <si>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</si>
  <si>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</si>
  <si>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</si>
  <si>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</si>
  <si>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</si>
  <si>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</si>
  <si>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</si>
  <si>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</si>
  <si>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</si>
  <si>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</si>
  <si>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</si>
  <si>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</si>
  <si>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</si>
  <si>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</si>
  <si>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</si>
  <si>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</si>
  <si>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</si>
  <si>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</si>
  <si>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</si>
  <si>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</si>
  <si>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</si>
  <si>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</si>
  <si>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</si>
  <si>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</si>
  <si>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</si>
  <si>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</si>
  <si>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</si>
  <si>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</si>
  <si>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</si>
  <si>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</si>
  <si>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</si>
  <si>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</si>
  <si>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</si>
  <si>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</si>
  <si>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</si>
  <si>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</si>
  <si>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</si>
  <si>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</si>
  <si>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</si>
  <si>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</si>
  <si>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</si>
  <si>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</si>
  <si>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</si>
  <si>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</si>
  <si>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</si>
  <si>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</si>
  <si>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</si>
  <si>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</si>
  <si>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</si>
  <si>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</si>
  <si>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</si>
  <si>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</si>
  <si>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</si>
  <si>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</si>
  <si>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</si>
  <si>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</si>
  <si>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</si>
  <si>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</si>
  <si>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</si>
  <si>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</si>
  <si>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</si>
  <si>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</si>
  <si>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</si>
  <si>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</si>
  <si>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</si>
  <si>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</si>
  <si>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</si>
  <si>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</si>
  <si>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</si>
  <si>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</si>
  <si>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</si>
  <si>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</si>
  <si>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</si>
  <si>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</si>
  <si>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</si>
  <si>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</si>
  <si>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</si>
  <si>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</si>
  <si>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</si>
  <si>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</si>
  <si>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</si>
  <si>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</si>
  <si>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</si>
  <si>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</si>
  <si>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</si>
  <si>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</si>
  <si>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</si>
  <si>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</si>
  <si>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</si>
  <si>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</si>
  <si>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</si>
  <si>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</si>
  <si>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</si>
  <si>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</si>
  <si>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</si>
  <si>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</si>
  <si>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</si>
  <si>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</si>
  <si>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</si>
  <si>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</si>
  <si>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</si>
  <si>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</si>
  <si>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</si>
  <si>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</si>
  <si>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</si>
  <si>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</si>
  <si>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</si>
  <si>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</si>
  <si>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</si>
  <si>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</si>
  <si>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</si>
  <si>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</si>
  <si>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</si>
  <si>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</si>
  <si>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</si>
  <si>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</si>
  <si>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</si>
  <si>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</si>
  <si>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</si>
  <si>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</si>
  <si>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</si>
  <si>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</si>
  <si>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</si>
  <si>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</si>
  <si>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</si>
  <si>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</si>
  <si>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</si>
  <si>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</si>
  <si>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</si>
  <si>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</si>
  <si>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</si>
  <si>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</si>
  <si>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</si>
  <si>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</si>
  <si>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</si>
  <si>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</si>
  <si>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</si>
  <si>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</si>
  <si>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</si>
  <si>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</si>
  <si>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</si>
  <si>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</si>
  <si>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</si>
  <si>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</si>
  <si>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</si>
  <si>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</si>
  <si>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</si>
  <si>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</si>
  <si>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</si>
  <si>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</si>
  <si>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</si>
  <si>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</si>
  <si>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</si>
  <si>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</si>
  <si>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</si>
  <si>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</si>
  <si>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</si>
  <si>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</si>
  <si>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</si>
  <si>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</si>
  <si>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</si>
  <si>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</si>
  <si>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</si>
  <si>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</si>
  <si>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</si>
  <si>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</si>
  <si>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</si>
  <si>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</si>
  <si>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</si>
  <si>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</si>
  <si>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</si>
  <si>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</si>
  <si>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</si>
  <si>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</si>
  <si>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</si>
  <si>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</si>
  <si>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</si>
  <si>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</si>
  <si>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</si>
  <si>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</si>
  <si>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</si>
  <si>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</si>
  <si>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</si>
  <si>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</si>
  <si>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</si>
  <si>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</si>
  <si>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</si>
  <si>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</si>
  <si>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</si>
  <si>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</si>
  <si>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</si>
  <si>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</si>
  <si>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</si>
  <si>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</si>
  <si>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</si>
  <si>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</si>
  <si>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</si>
  <si>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</si>
  <si>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</si>
  <si>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</si>
  <si>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</si>
  <si>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</si>
  <si>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</si>
  <si>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</si>
  <si>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</si>
  <si>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</si>
  <si>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</si>
  <si>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</si>
  <si>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</si>
  <si>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</si>
  <si>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</si>
  <si>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</si>
  <si>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</si>
  <si>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</si>
  <si>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</si>
  <si>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</si>
  <si>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</si>
  <si>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</si>
  <si>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</si>
  <si>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</si>
  <si>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</si>
  <si>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</si>
  <si>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</si>
  <si>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</si>
  <si>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</si>
  <si>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</si>
  <si>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</si>
  <si>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</si>
  <si>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</si>
  <si>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</si>
  <si>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</si>
  <si>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</si>
  <si>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</si>
  <si>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</si>
  <si>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</si>
  <si>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</si>
  <si>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</si>
  <si>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</si>
  <si>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</si>
  <si>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</si>
  <si>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</si>
  <si>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</si>
  <si>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</si>
  <si>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</si>
  <si>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</si>
  <si>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</si>
  <si>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</si>
  <si>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</si>
  <si>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</si>
  <si>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</si>
  <si>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</si>
  <si>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</si>
  <si>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</si>
  <si>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</si>
  <si>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</si>
  <si>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</si>
  <si>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</si>
  <si>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</si>
  <si>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</si>
  <si>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</si>
  <si>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</si>
  <si>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</si>
  <si>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</si>
  <si>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</si>
  <si>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</si>
  <si>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</si>
  <si>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</si>
  <si>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</si>
  <si>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</si>
  <si>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</si>
  <si>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</si>
  <si>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</si>
  <si>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</si>
  <si>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</si>
  <si>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</si>
  <si>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</si>
  <si>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</si>
  <si>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</si>
  <si>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</si>
  <si>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</si>
  <si>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</si>
  <si>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</si>
  <si>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</si>
  <si>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</si>
  <si>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</si>
  <si>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</si>
  <si>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</si>
  <si>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</si>
  <si>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</si>
  <si>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</si>
  <si>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</si>
  <si>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</si>
  <si>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</si>
  <si>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</si>
  <si>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</si>
  <si>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</si>
  <si>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</si>
  <si>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</si>
  <si>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</si>
  <si>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</si>
  <si>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</si>
  <si>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</si>
  <si>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</si>
  <si>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</si>
  <si>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</si>
  <si>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</si>
  <si>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</si>
  <si>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</si>
  <si>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</si>
  <si>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</si>
  <si>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</si>
  <si>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</si>
  <si>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</si>
  <si>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</si>
  <si>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</si>
  <si>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</si>
  <si>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</si>
  <si>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</si>
  <si>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</si>
  <si>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</si>
  <si>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</si>
  <si>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</si>
  <si>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</si>
  <si>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</si>
  <si>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</si>
  <si>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</si>
  <si>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</si>
  <si>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</si>
  <si>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</si>
  <si>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</si>
  <si>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</si>
  <si>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</si>
  <si>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</si>
  <si>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</si>
  <si>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</si>
  <si>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</si>
  <si>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</si>
  <si>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</si>
  <si>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</si>
  <si>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</si>
  <si>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</si>
  <si>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</si>
  <si>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</si>
  <si>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</si>
  <si>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</si>
  <si>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</si>
  <si>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</si>
  <si>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</si>
  <si>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</si>
  <si>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</si>
  <si>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</si>
  <si>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</si>
  <si>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</si>
  <si>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</si>
  <si>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</si>
  <si>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</si>
  <si>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</si>
  <si>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</si>
  <si>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</si>
  <si>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</si>
  <si>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</si>
  <si>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</si>
  <si>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</si>
  <si>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</si>
  <si>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</si>
  <si>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</si>
  <si>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</si>
  <si>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</si>
  <si>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</si>
  <si>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</si>
  <si>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</si>
  <si>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</si>
  <si>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</si>
  <si>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</si>
  <si>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</si>
  <si>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</si>
  <si>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</si>
  <si>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</si>
  <si>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</si>
  <si>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</si>
  <si>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</si>
  <si>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</si>
  <si>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</si>
  <si>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</si>
  <si>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</si>
  <si>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</si>
  <si>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</si>
  <si>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</si>
  <si>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</si>
  <si>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</si>
  <si>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</si>
  <si>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</si>
  <si>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</si>
  <si>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</si>
  <si>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</si>
  <si>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</si>
  <si>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</si>
  <si>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</si>
  <si>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</si>
  <si>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</si>
  <si>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</si>
  <si>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</si>
  <si>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</si>
  <si>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</si>
  <si>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</si>
  <si>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</si>
  <si>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</si>
  <si>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</si>
  <si>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</si>
  <si>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</si>
  <si>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</si>
  <si>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</si>
  <si>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</si>
  <si>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</si>
  <si>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</si>
  <si>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</si>
  <si>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</si>
  <si>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</si>
  <si>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</si>
  <si>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</si>
  <si>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</si>
  <si>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</si>
  <si>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</si>
  <si>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</si>
  <si>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</si>
  <si>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</si>
  <si>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</si>
  <si>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</si>
  <si>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</si>
  <si>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</si>
  <si>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</si>
  <si>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</si>
  <si>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</si>
  <si>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</si>
  <si>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</si>
  <si>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</si>
  <si>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</si>
  <si>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</si>
  <si>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</si>
  <si>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</si>
  <si>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</si>
  <si>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</si>
  <si>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</si>
  <si>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</si>
  <si>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</si>
  <si>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</si>
  <si>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</si>
  <si>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</si>
  <si>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</si>
  <si>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</si>
  <si>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</si>
  <si>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</si>
  <si>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</si>
  <si>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</si>
  <si>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</si>
  <si>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</si>
  <si>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</si>
  <si>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</si>
  <si>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</si>
  <si>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</si>
  <si>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</si>
  <si>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</si>
  <si>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</si>
  <si>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</si>
  <si>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</si>
  <si>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</si>
  <si>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</si>
  <si>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</si>
  <si>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</si>
  <si>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</si>
  <si>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</si>
  <si>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</si>
  <si>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</si>
  <si>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</si>
  <si>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</si>
  <si>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</si>
  <si>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</si>
  <si>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</si>
  <si>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</si>
  <si>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</si>
  <si>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</si>
  <si>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</si>
  <si>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</si>
  <si>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</si>
  <si>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</si>
  <si>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</si>
  <si>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</si>
  <si>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</si>
  <si>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</si>
  <si>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</si>
  <si>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</si>
  <si>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</si>
  <si>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</si>
  <si>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</si>
  <si>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</si>
  <si>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</si>
  <si>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</si>
  <si>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</si>
  <si>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</si>
  <si>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</si>
  <si>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</si>
  <si>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</si>
  <si>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</si>
  <si>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</si>
  <si>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</si>
  <si>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</si>
  <si>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</si>
  <si>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</si>
  <si>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</si>
  <si>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</si>
  <si>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</si>
  <si>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</si>
  <si>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</si>
  <si>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</si>
  <si>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</si>
  <si>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</si>
  <si>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</si>
  <si>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</si>
  <si>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</si>
  <si>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</si>
  <si>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</si>
  <si>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</si>
  <si>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</si>
  <si>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</si>
  <si>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</si>
  <si>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</si>
  <si>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</si>
  <si>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</si>
  <si>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</si>
  <si>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</si>
  <si>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</si>
  <si>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</si>
  <si>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</si>
  <si>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</si>
  <si>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</si>
  <si>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</si>
  <si>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</si>
  <si>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</si>
  <si>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</si>
  <si>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</si>
  <si>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</si>
  <si>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</si>
  <si>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</si>
  <si>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</si>
  <si>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</si>
  <si>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</si>
  <si>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</si>
  <si>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</si>
  <si>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</si>
  <si>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</si>
  <si>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</si>
  <si>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</si>
  <si>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</si>
  <si>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</si>
  <si>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</si>
  <si>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</si>
  <si>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</si>
  <si>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</si>
  <si>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</si>
  <si>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</si>
  <si>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</si>
  <si>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</si>
  <si>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</si>
  <si>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</si>
  <si>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</si>
  <si>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</si>
  <si>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</si>
  <si>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</si>
  <si>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</si>
  <si>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</si>
  <si>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</si>
  <si>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</si>
  <si>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</si>
  <si>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</si>
  <si>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</si>
  <si>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</si>
  <si>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</si>
  <si>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</si>
  <si>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</si>
  <si>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</si>
  <si>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</si>
  <si>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</si>
  <si>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</si>
  <si>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</si>
  <si>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</si>
  <si>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</si>
  <si>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</si>
  <si>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</si>
  <si>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</si>
  <si>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</si>
  <si>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</si>
  <si>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</si>
  <si>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</si>
  <si>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</si>
  <si>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</si>
  <si>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</si>
  <si>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</si>
  <si>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</si>
  <si>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</si>
  <si>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</si>
  <si>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</si>
  <si>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</si>
  <si>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</si>
  <si>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</si>
  <si>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</si>
  <si>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</si>
  <si>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</si>
  <si>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</si>
  <si>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</si>
  <si>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</si>
  <si>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</si>
  <si>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</si>
  <si>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</si>
  <si>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</si>
  <si>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</si>
  <si>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</si>
  <si>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</si>
  <si>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</si>
  <si>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</si>
  <si>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</si>
  <si>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</si>
  <si>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</si>
  <si>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</si>
  <si>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</si>
  <si>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</si>
  <si>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</si>
  <si>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</si>
  <si>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</si>
  <si>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</si>
  <si>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</si>
  <si>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</si>
  <si>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</si>
  <si>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</si>
  <si>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</si>
  <si>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</si>
  <si>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</si>
  <si>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</si>
  <si>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</si>
  <si>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</si>
  <si>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</si>
  <si>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</si>
  <si>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</si>
  <si>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</si>
  <si>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</si>
  <si>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</si>
  <si>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</si>
  <si>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</si>
  <si>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</si>
  <si>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</si>
  <si>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</si>
  <si>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</si>
  <si>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</si>
  <si>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</si>
  <si>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</si>
  <si>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</si>
  <si>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</si>
  <si>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</si>
  <si>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</si>
  <si>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</si>
  <si>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</si>
  <si>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</si>
  <si>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</si>
  <si>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</si>
  <si>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</si>
  <si>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</si>
  <si>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</si>
  <si>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</si>
  <si>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</si>
  <si>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</si>
  <si>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</si>
  <si>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</si>
  <si>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</si>
  <si>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</si>
  <si>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</si>
  <si>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</si>
  <si>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</si>
  <si>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</si>
  <si>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</si>
  <si>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</si>
  <si>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</si>
  <si>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</si>
  <si>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</si>
  <si>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</si>
  <si>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</si>
  <si>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</si>
  <si>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</si>
  <si>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</si>
  <si>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</si>
  <si>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</si>
  <si>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</si>
  <si>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</si>
  <si>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</si>
  <si>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</si>
  <si>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</si>
  <si>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</si>
  <si>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</si>
  <si>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</si>
  <si>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</si>
  <si>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</si>
  <si>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</si>
  <si>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</si>
  <si>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</si>
  <si>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</si>
  <si>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</si>
  <si>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</si>
  <si>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</si>
  <si>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</si>
  <si>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</si>
  <si>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</si>
  <si>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</si>
  <si>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</si>
  <si>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</si>
  <si>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</si>
  <si>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</si>
  <si>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</si>
  <si>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</si>
  <si>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</si>
  <si>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</si>
  <si>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</si>
  <si>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</si>
  <si>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</si>
  <si>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</si>
  <si>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</si>
  <si>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</si>
  <si>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</si>
  <si>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</si>
  <si>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</si>
  <si>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</si>
  <si>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</si>
  <si>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</si>
  <si>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</si>
  <si>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</si>
  <si>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</si>
  <si>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</si>
  <si>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</si>
  <si>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</si>
  <si>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</si>
  <si>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</si>
  <si>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</si>
  <si>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</si>
  <si>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</si>
  <si>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</si>
  <si>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</si>
  <si>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</si>
  <si>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</si>
  <si>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</si>
  <si>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</si>
  <si>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</si>
  <si>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</si>
  <si>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</si>
  <si>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</si>
  <si>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</si>
  <si>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</si>
  <si>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</si>
  <si>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</si>
  <si>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</si>
  <si>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</si>
  <si>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</si>
  <si>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</si>
  <si>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</si>
  <si>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</si>
  <si>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</si>
  <si>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</si>
  <si>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</si>
  <si>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</si>
  <si>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</si>
  <si>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</si>
  <si>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</si>
  <si>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</si>
  <si>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</si>
  <si>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</si>
  <si>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</si>
  <si>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</si>
  <si>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</si>
  <si>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</si>
  <si>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</si>
  <si>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</si>
  <si>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</si>
  <si>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</si>
  <si>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</si>
  <si>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</si>
  <si>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</si>
  <si>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</si>
  <si>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</si>
  <si>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</si>
  <si>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</si>
  <si>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</si>
  <si>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</si>
  <si>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</si>
  <si>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</si>
  <si>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</si>
  <si>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</si>
  <si>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</si>
  <si>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</si>
  <si>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</si>
  <si>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</si>
  <si>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</si>
  <si>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</si>
  <si>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</si>
  <si>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</si>
  <si>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</si>
  <si>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</si>
  <si>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</si>
  <si>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</si>
  <si>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</si>
  <si>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</si>
  <si>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</si>
  <si>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</si>
  <si>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</si>
  <si>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</si>
  <si>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</si>
  <si>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</si>
  <si>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</si>
  <si>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</si>
  <si>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</si>
  <si>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</si>
  <si>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</si>
  <si>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</si>
  <si>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</si>
  <si>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</si>
  <si>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</si>
  <si>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</si>
  <si>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</si>
  <si>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</si>
  <si>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</si>
  <si>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</si>
  <si>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</si>
  <si>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</si>
  <si>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</si>
  <si>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</si>
  <si>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</si>
  <si>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</si>
  <si>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</si>
  <si>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</si>
  <si>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</si>
  <si>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</si>
  <si>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</si>
  <si>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</si>
  <si>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</si>
  <si>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</si>
  <si>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</si>
  <si>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</si>
  <si>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</si>
  <si>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</si>
  <si>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</si>
  <si>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</si>
  <si>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</si>
  <si>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</si>
  <si>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</si>
  <si>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</si>
  <si>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</si>
  <si>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</si>
  <si>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</si>
  <si>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</si>
  <si>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</si>
  <si>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</si>
  <si>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</si>
  <si>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</si>
  <si>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</si>
  <si>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</si>
  <si>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</si>
  <si>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</si>
  <si>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</si>
  <si>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</si>
  <si>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</si>
  <si>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</si>
  <si>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</si>
  <si>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</si>
  <si>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</si>
  <si>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</si>
  <si>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</si>
  <si>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</si>
  <si>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</si>
  <si>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</si>
  <si>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</si>
  <si>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</si>
  <si>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</si>
  <si>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</si>
  <si>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</si>
  <si>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</si>
  <si>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</si>
  <si>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</si>
  <si>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</si>
  <si>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</si>
  <si>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</si>
  <si>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</si>
  <si>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</si>
  <si>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</si>
  <si>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</si>
  <si>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</si>
  <si>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</si>
  <si>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</si>
  <si>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</si>
  <si>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</si>
  <si>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</si>
  <si>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</si>
  <si>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</si>
  <si>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</si>
  <si>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</si>
  <si>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</si>
  <si>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</si>
  <si>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</si>
  <si>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</si>
  <si>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</si>
  <si>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</si>
  <si>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</si>
  <si>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</si>
  <si>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</si>
  <si>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</si>
  <si>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</si>
  <si>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</si>
  <si>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</si>
  <si>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</si>
  <si>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</si>
  <si>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</si>
  <si>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</si>
  <si>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</si>
  <si>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</si>
  <si>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</si>
  <si>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</si>
  <si>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</si>
  <si>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</si>
  <si>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</si>
  <si>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</si>
  <si>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</si>
  <si>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</si>
  <si>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</si>
  <si>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</si>
  <si>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</si>
  <si>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</si>
  <si>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</si>
  <si>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</si>
  <si>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</si>
  <si>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</si>
  <si>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</si>
  <si>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</si>
  <si>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</si>
  <si>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</si>
  <si>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</si>
  <si>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</si>
  <si>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</si>
  <si>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</si>
  <si>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</si>
  <si>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</si>
  <si>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</si>
  <si>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</si>
  <si>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</si>
  <si>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</si>
  <si>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</si>
  <si>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</si>
  <si>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</si>
  <si>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</si>
  <si>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</si>
  <si>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</si>
  <si>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</si>
  <si>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</si>
  <si>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</si>
  <si>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</si>
  <si>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</si>
  <si>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</si>
  <si>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</si>
  <si>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</si>
  <si>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</si>
  <si>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</si>
  <si>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</si>
  <si>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</si>
  <si>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</si>
  <si>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</si>
  <si>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</si>
  <si>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</si>
  <si>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</si>
  <si>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</si>
  <si>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</si>
  <si>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</si>
  <si>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</si>
  <si>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</si>
  <si>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</si>
  <si>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</si>
  <si>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</si>
  <si>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</si>
  <si>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</si>
  <si>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</si>
  <si>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</si>
  <si>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</si>
  <si>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</si>
  <si>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</si>
  <si>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</si>
  <si>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</si>
  <si>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</si>
  <si>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</si>
  <si>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</si>
  <si>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</si>
  <si>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</si>
  <si>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</si>
  <si>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</si>
  <si>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</si>
  <si>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</si>
  <si>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</si>
  <si>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</si>
  <si>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</si>
  <si>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</si>
  <si>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</si>
  <si>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</si>
  <si>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</si>
  <si>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</si>
  <si>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</si>
  <si>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</si>
  <si>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</si>
  <si>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</si>
  <si>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</si>
  <si>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</si>
  <si>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</si>
  <si>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</si>
  <si>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</si>
  <si>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</si>
  <si>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</si>
  <si>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</si>
  <si>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</si>
  <si>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</si>
  <si>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</si>
  <si>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</si>
  <si>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</si>
  <si>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</si>
  <si>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</si>
  <si>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</si>
  <si>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</si>
  <si>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</si>
  <si>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</si>
  <si>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</si>
  <si>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</si>
  <si>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</si>
  <si>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</si>
  <si>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</si>
  <si>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</si>
  <si>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</si>
  <si>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</si>
  <si>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</si>
  <si>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</si>
  <si>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</si>
  <si>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</si>
  <si>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</si>
  <si>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</si>
  <si>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</si>
  <si>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</si>
  <si>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</si>
  <si>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</si>
  <si>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</si>
  <si>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</si>
  <si>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</si>
  <si>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</si>
  <si>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</si>
  <si>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</si>
  <si>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</si>
  <si>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</si>
  <si>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</si>
  <si>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</si>
  <si>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</si>
  <si>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</si>
  <si>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</si>
  <si>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</si>
  <si>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</si>
  <si>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</si>
  <si>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</si>
  <si>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</si>
  <si>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</si>
  <si>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</si>
  <si>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</si>
  <si>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</si>
  <si>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</si>
  <si>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</si>
  <si>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</si>
  <si>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</si>
  <si>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</si>
  <si>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</si>
  <si>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</si>
  <si>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</si>
  <si>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</si>
  <si>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</si>
  <si>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</si>
  <si>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</si>
  <si>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</si>
  <si>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</si>
  <si>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</si>
  <si>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</si>
  <si>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</si>
  <si>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</si>
  <si>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</si>
  <si>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</si>
  <si>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</si>
  <si>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</si>
  <si>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</si>
  <si>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</si>
  <si>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</si>
  <si>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</si>
  <si>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</si>
  <si>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</si>
  <si>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</si>
  <si>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</si>
  <si>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</si>
  <si>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</si>
  <si>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</si>
  <si>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</si>
  <si>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</si>
  <si>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</si>
  <si>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</si>
  <si>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</si>
  <si>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</si>
  <si>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</si>
  <si>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</si>
  <si>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</si>
  <si>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</si>
  <si>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</si>
  <si>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</si>
  <si>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</si>
  <si>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</si>
  <si>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</si>
  <si>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</si>
  <si>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</si>
  <si>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</si>
  <si>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</si>
  <si>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</si>
  <si>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</si>
  <si>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</si>
  <si>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</si>
  <si>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</si>
  <si>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</si>
  <si>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</si>
  <si>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</si>
  <si>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</si>
  <si>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</si>
  <si>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</si>
  <si>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</si>
  <si>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</si>
  <si>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</si>
  <si>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</si>
  <si>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</si>
  <si>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</si>
  <si>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</si>
  <si>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</si>
  <si>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</si>
  <si>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</si>
  <si>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</si>
  <si>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</si>
  <si>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</si>
  <si>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</si>
  <si>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</si>
  <si>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</si>
  <si>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</si>
  <si>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</si>
  <si>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</si>
  <si>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</si>
  <si>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</si>
  <si>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</si>
  <si>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</si>
  <si>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</si>
  <si>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</si>
  <si>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</si>
  <si>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</si>
  <si>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</si>
  <si>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</si>
  <si>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</si>
  <si>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</si>
  <si>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</si>
  <si>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</si>
  <si>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</si>
  <si>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</si>
  <si>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</si>
  <si>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</si>
  <si>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</si>
  <si>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</si>
  <si>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</si>
  <si>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</si>
  <si>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</si>
  <si>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</si>
  <si>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</si>
  <si>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</si>
  <si>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</si>
  <si>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</si>
  <si>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</si>
  <si>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</si>
  <si>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</si>
  <si>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</si>
  <si>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</si>
  <si>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</si>
  <si>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</si>
  <si>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</si>
  <si>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</si>
  <si>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</si>
  <si>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</si>
  <si>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</si>
  <si>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</si>
  <si>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</si>
  <si>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</si>
  <si>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</si>
  <si>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</si>
  <si>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</si>
  <si>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</si>
  <si>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</si>
  <si>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</si>
  <si>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</si>
  <si>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</si>
  <si>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</si>
  <si>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</si>
  <si>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</si>
  <si>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</si>
  <si>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</si>
  <si>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</si>
  <si>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</si>
  <si>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</si>
  <si>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</si>
  <si>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</si>
  <si>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</si>
  <si>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</si>
  <si>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</si>
  <si>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</si>
  <si>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</si>
  <si>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</si>
  <si>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</si>
  <si>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</si>
  <si>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</si>
  <si>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</si>
  <si>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</si>
  <si>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</si>
  <si>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</si>
  <si>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</si>
  <si>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</si>
  <si>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</si>
  <si>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</si>
  <si>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</si>
  <si>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</si>
  <si>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</si>
  <si>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</si>
  <si>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</si>
  <si>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</si>
  <si>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</si>
  <si>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</si>
  <si>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</si>
  <si>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</si>
  <si>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</si>
  <si>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</si>
  <si>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</si>
  <si>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</si>
  <si>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</si>
  <si>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</si>
  <si>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</si>
  <si>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</si>
  <si>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</si>
  <si>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</si>
  <si>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</si>
  <si>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</si>
  <si>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</si>
  <si>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</si>
  <si>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</si>
  <si>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</si>
  <si>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</si>
  <si>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</si>
  <si>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</si>
  <si>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</si>
  <si>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</si>
  <si>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</si>
  <si>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</si>
  <si>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</si>
  <si>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</si>
  <si>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</si>
  <si>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</si>
  <si>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</si>
  <si>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</si>
  <si>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</si>
  <si>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</si>
  <si>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</si>
  <si>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</si>
  <si>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</si>
  <si>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</si>
  <si>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</si>
  <si>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</si>
  <si>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</si>
  <si>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</si>
  <si>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</si>
  <si>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</si>
  <si>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</si>
  <si>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</si>
  <si>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</si>
  <si>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</si>
  <si>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</si>
  <si>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</si>
  <si>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</si>
  <si>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</si>
  <si>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</si>
  <si>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</si>
  <si>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</si>
  <si>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</si>
  <si>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</si>
  <si>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</si>
  <si>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</si>
  <si>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</si>
  <si>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</si>
  <si>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</si>
  <si>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</si>
  <si>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</si>
  <si>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</si>
  <si>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</si>
  <si>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</si>
  <si>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</si>
  <si>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</si>
  <si>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</si>
  <si>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</si>
  <si>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</si>
  <si>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</si>
  <si>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</si>
  <si>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</si>
  <si>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</si>
  <si>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</si>
  <si>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</si>
  <si>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</si>
  <si>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</si>
  <si>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</si>
  <si>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</si>
  <si>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</si>
  <si>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</si>
  <si>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</si>
  <si>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</si>
  <si>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</si>
  <si>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</si>
  <si>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</si>
  <si>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</si>
  <si>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</si>
  <si>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</si>
  <si>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</si>
  <si>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</si>
  <si>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</si>
  <si>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</si>
  <si>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</si>
  <si>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</si>
  <si>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</si>
  <si>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</si>
  <si>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</si>
  <si>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</si>
  <si>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</si>
  <si>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</si>
  <si>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</si>
  <si>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</si>
  <si>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</si>
  <si>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</si>
  <si>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</si>
  <si>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</si>
  <si>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</si>
  <si>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</si>
  <si>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</si>
  <si>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</si>
  <si>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</si>
  <si>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</si>
  <si>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</si>
  <si>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</si>
  <si>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</si>
  <si>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</si>
  <si>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</si>
  <si>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</si>
  <si>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</si>
  <si>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</si>
  <si>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</si>
  <si>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</si>
  <si>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</si>
  <si>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</si>
  <si>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</si>
  <si>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</si>
  <si>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</si>
  <si>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</si>
  <si>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</si>
  <si>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</si>
  <si>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</si>
  <si>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</si>
  <si>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</si>
  <si>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</si>
  <si>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</si>
  <si>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</si>
  <si>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</si>
  <si>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</si>
  <si>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</si>
  <si>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</si>
  <si>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</si>
  <si>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</si>
  <si>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</si>
  <si>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</si>
  <si>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</si>
  <si>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</si>
  <si>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</si>
  <si>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</si>
  <si>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</si>
  <si>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</si>
  <si>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</si>
  <si>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</si>
  <si>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</si>
  <si>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</si>
  <si>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</si>
  <si>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</si>
  <si>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</si>
  <si>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</si>
  <si>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</si>
  <si>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</si>
  <si>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</si>
  <si>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</si>
  <si>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</si>
  <si>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</si>
  <si>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</si>
  <si>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</si>
  <si>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</si>
  <si>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</si>
  <si>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</si>
  <si>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</si>
  <si>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</si>
  <si>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</si>
  <si>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</si>
  <si>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</si>
  <si>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</si>
  <si>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</si>
  <si>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</si>
  <si>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</si>
  <si>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</si>
  <si>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</si>
  <si>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</si>
  <si>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</si>
  <si>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</si>
  <si>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</si>
  <si>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</si>
  <si>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</si>
  <si>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</si>
  <si>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</si>
  <si>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</si>
  <si>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</si>
  <si>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</si>
  <si>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</si>
  <si>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</si>
  <si>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</si>
  <si>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</si>
  <si>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</si>
  <si>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</si>
  <si>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</si>
  <si>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</si>
  <si>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</si>
  <si>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</si>
  <si>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</si>
  <si>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</si>
  <si>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</si>
  <si>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</si>
  <si>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</si>
  <si>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</si>
  <si>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</si>
  <si>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</si>
  <si>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</si>
  <si>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</si>
  <si>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</si>
  <si>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</si>
  <si>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</si>
  <si>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</si>
  <si>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</si>
  <si>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</si>
  <si>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</si>
  <si>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</si>
  <si>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</si>
  <si>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</si>
  <si>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</si>
  <si>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</si>
  <si>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</si>
  <si>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</si>
  <si>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</si>
  <si>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</si>
  <si>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</si>
  <si>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</si>
  <si>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</si>
  <si>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</si>
  <si>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</si>
  <si>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</si>
  <si>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</si>
  <si>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</si>
  <si>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</si>
  <si>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</si>
  <si>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</si>
  <si>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</si>
  <si>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</si>
  <si>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</si>
  <si>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</si>
  <si>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</si>
  <si>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</si>
  <si>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</si>
  <si>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</si>
  <si>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</si>
  <si>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</si>
  <si>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</si>
  <si>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</si>
  <si>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</si>
  <si>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</si>
  <si>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</si>
  <si>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</si>
  <si>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</si>
  <si>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</si>
  <si>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</si>
  <si>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</si>
  <si>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</si>
  <si>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</si>
  <si>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</si>
  <si>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</si>
  <si>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</si>
  <si>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</si>
  <si>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</si>
  <si>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</si>
  <si>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</si>
  <si>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</si>
  <si>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</si>
  <si>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</si>
  <si>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</si>
  <si>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</si>
  <si>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</si>
  <si>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</si>
  <si>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</si>
  <si>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</si>
  <si>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</si>
  <si>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</si>
  <si>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</si>
  <si>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</si>
  <si>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</si>
  <si>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</si>
  <si>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</si>
  <si>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</si>
  <si>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</si>
  <si>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</si>
  <si>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</si>
  <si>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</si>
  <si>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</si>
  <si>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</si>
  <si>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</si>
  <si>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</si>
  <si>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</si>
  <si>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</si>
  <si>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</si>
  <si>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</si>
  <si>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</si>
  <si>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</si>
  <si>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</si>
  <si>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</si>
  <si>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</si>
  <si>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</si>
  <si>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</si>
  <si>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</si>
  <si>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</si>
  <si>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</si>
  <si>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</si>
  <si>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</si>
  <si>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</si>
  <si>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</si>
  <si>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</si>
  <si>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</si>
  <si>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</si>
  <si>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</si>
  <si>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</si>
  <si>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</si>
  <si>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</si>
  <si>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</si>
  <si>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</si>
  <si>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</si>
  <si>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</si>
  <si>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</si>
  <si>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</si>
  <si>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</si>
  <si>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</si>
  <si>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</si>
  <si>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</si>
  <si>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</si>
  <si>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</si>
  <si>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</si>
  <si>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</si>
  <si>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</si>
  <si>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</si>
  <si>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</si>
  <si>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</si>
  <si>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</si>
  <si>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</si>
  <si>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</si>
  <si>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</si>
  <si>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</si>
  <si>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</si>
  <si>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</si>
  <si>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</si>
  <si>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</si>
  <si>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</si>
  <si>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</si>
  <si>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</si>
  <si>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</si>
  <si>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</si>
  <si>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</si>
  <si>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</si>
  <si>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</si>
  <si>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</si>
  <si>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</si>
  <si>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</si>
  <si>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</si>
  <si>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</si>
  <si>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</si>
  <si>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</si>
  <si>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</si>
  <si>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</si>
  <si>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</si>
  <si>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</si>
  <si>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</si>
  <si>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</si>
  <si>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</si>
  <si>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</si>
  <si>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</si>
  <si>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</si>
  <si>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</si>
  <si>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</si>
  <si>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</si>
  <si>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</si>
  <si>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</si>
  <si>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</si>
  <si>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</si>
  <si>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</si>
  <si>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</si>
  <si>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</si>
  <si>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</si>
  <si>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</si>
  <si>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</si>
  <si>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</si>
  <si>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</si>
  <si>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</si>
  <si>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</si>
  <si>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</si>
  <si>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</si>
  <si>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</si>
  <si>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</si>
  <si>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</si>
  <si>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</si>
  <si>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</si>
  <si>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</si>
  <si>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</si>
  <si>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</si>
  <si>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</si>
  <si>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</si>
  <si>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</si>
  <si>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</si>
  <si>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</si>
  <si>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</si>
  <si>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</si>
  <si>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</si>
  <si>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</si>
  <si>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</si>
  <si>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</si>
  <si>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</si>
  <si>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</si>
  <si>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</si>
  <si>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</si>
  <si>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</si>
  <si>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</si>
  <si>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</si>
  <si>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</si>
  <si>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</si>
  <si>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</si>
  <si>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</si>
  <si>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</si>
  <si>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</si>
  <si>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</si>
  <si>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</si>
  <si>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</si>
  <si>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</si>
  <si>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</si>
  <si>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</si>
  <si>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</si>
  <si>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</si>
  <si>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</si>
  <si>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</si>
  <si>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</si>
  <si>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</si>
  <si>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</si>
  <si>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</si>
  <si>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</si>
  <si>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</si>
  <si>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</si>
  <si>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</si>
  <si>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</si>
  <si>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</si>
  <si>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</si>
  <si>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</si>
  <si>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</si>
  <si>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</si>
  <si>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</si>
  <si>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</si>
  <si>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</si>
  <si>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</si>
  <si>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</si>
  <si>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</si>
  <si>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</si>
  <si>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</si>
  <si>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</si>
  <si>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</si>
  <si>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</si>
  <si>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</si>
  <si>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</si>
  <si>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</si>
  <si>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</si>
  <si>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</si>
  <si>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</si>
  <si>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</si>
  <si>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</si>
  <si>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</si>
  <si>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</si>
  <si>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</si>
  <si>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</si>
  <si>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</si>
  <si>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</si>
  <si>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</si>
  <si>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</si>
  <si>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</si>
  <si>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</si>
  <si>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</si>
  <si>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</si>
  <si>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</si>
  <si>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</si>
  <si>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</si>
  <si>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</si>
  <si>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</si>
  <si>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</si>
  <si>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</si>
  <si>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</si>
  <si>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</si>
  <si>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</si>
  <si>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</si>
  <si>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</si>
  <si>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</si>
  <si>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</si>
  <si>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</si>
  <si>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</si>
  <si>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</si>
  <si>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</si>
  <si>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</si>
  <si>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</si>
  <si>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</si>
  <si>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</si>
  <si>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</si>
  <si>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</si>
  <si>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</si>
  <si>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</si>
  <si>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</si>
  <si>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</si>
  <si>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</si>
  <si>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</si>
  <si>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</si>
  <si>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</si>
  <si>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</si>
  <si>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</si>
  <si>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</si>
  <si>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</si>
  <si>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</si>
  <si>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</si>
  <si>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</si>
  <si>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</si>
  <si>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</si>
  <si>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</si>
  <si>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</si>
  <si>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</si>
  <si>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</si>
  <si>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</si>
  <si>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</si>
  <si>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</si>
  <si>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</si>
  <si>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</si>
  <si>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</si>
  <si>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</si>
  <si>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</si>
  <si>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</si>
  <si>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</si>
  <si>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</si>
  <si>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</si>
  <si>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</si>
  <si>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</si>
  <si>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</si>
  <si>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</si>
  <si>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</si>
  <si>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</si>
  <si>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</si>
  <si>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</si>
  <si>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</si>
  <si>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</si>
  <si>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</si>
  <si>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</si>
  <si>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</si>
  <si>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</si>
  <si>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</si>
  <si>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</si>
  <si>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</si>
  <si>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</si>
  <si>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</si>
  <si>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</si>
  <si>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</si>
  <si>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</si>
  <si>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</si>
  <si>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</si>
  <si>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</si>
  <si>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</si>
  <si>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</si>
  <si>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</si>
  <si>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</si>
  <si>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</si>
  <si>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</si>
  <si>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</si>
  <si>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</si>
  <si>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</si>
  <si>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</si>
  <si>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</si>
  <si>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</si>
  <si>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</si>
  <si>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</si>
  <si>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</si>
  <si>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</si>
  <si>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</si>
  <si>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</si>
  <si>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</si>
  <si>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</si>
  <si>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</si>
  <si>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</si>
  <si>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</si>
  <si>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</si>
  <si>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</si>
  <si>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</si>
  <si>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</si>
  <si>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</si>
  <si>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</si>
  <si>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</si>
  <si>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</si>
  <si>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</si>
  <si>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</si>
  <si>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</si>
  <si>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</si>
  <si>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</si>
  <si>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</si>
  <si>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</si>
  <si>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</si>
  <si>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</si>
  <si>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</si>
  <si>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</si>
  <si>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</si>
  <si>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</si>
  <si>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</si>
  <si>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</si>
  <si>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</si>
  <si>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</si>
  <si>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</si>
  <si>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</si>
  <si>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</si>
  <si>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</si>
  <si>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</si>
  <si>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</si>
  <si>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</si>
  <si>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</si>
  <si>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</si>
  <si>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</si>
  <si>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</si>
  <si>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</si>
  <si>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</si>
  <si>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</si>
  <si>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</si>
  <si>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</si>
  <si>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</si>
  <si>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</si>
  <si>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</si>
  <si>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</si>
  <si>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</si>
  <si>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</si>
  <si>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</si>
  <si>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</si>
  <si>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</si>
  <si>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</si>
  <si>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</si>
  <si>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</si>
  <si>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</si>
  <si>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</si>
  <si>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</si>
  <si>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</si>
  <si>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</si>
  <si>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</si>
  <si>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</si>
  <si>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</si>
  <si>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</si>
  <si>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</si>
  <si>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</si>
  <si>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</si>
  <si>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</si>
  <si>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</si>
  <si>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</si>
  <si>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</si>
  <si>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</si>
  <si>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</si>
  <si>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</si>
  <si>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</si>
  <si>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</si>
  <si>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</si>
  <si>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</si>
  <si>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</si>
  <si>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</si>
  <si>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</si>
  <si>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</si>
  <si>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</si>
  <si>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</si>
  <si>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</si>
  <si>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</si>
  <si>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</si>
  <si>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</si>
  <si>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</si>
  <si>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</si>
  <si>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</si>
  <si>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</si>
  <si>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</si>
  <si>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</si>
  <si>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</si>
  <si>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</si>
  <si>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</si>
  <si>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</si>
  <si>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</si>
  <si>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</si>
  <si>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</si>
  <si>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</si>
  <si>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</si>
  <si>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</si>
  <si>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</si>
  <si>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</si>
  <si>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</si>
  <si>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</si>
  <si>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</si>
  <si>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</si>
  <si>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</si>
  <si>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</si>
  <si>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</si>
  <si>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</si>
  <si>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</si>
  <si>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</si>
  <si>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</si>
  <si>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</si>
  <si>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</si>
  <si>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</si>
  <si>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</si>
  <si>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</si>
  <si>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</si>
  <si>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</si>
  <si>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</si>
  <si>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</si>
  <si>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</si>
  <si>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</si>
  <si>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</si>
  <si>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</si>
  <si>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</si>
  <si>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</si>
  <si>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</si>
  <si>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</si>
  <si>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</si>
  <si>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</si>
  <si>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</si>
  <si>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</si>
  <si>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</si>
  <si>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</si>
  <si>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</si>
  <si>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</si>
  <si>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</si>
  <si>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</si>
  <si>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</si>
  <si>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</si>
  <si>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</si>
  <si>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</si>
  <si>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</si>
  <si>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</si>
  <si>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</si>
  <si>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</si>
  <si>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</si>
  <si>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</si>
  <si>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</si>
  <si>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</si>
  <si>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</si>
  <si>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</si>
  <si>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</si>
  <si>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</si>
  <si>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</si>
  <si>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</si>
  <si>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</si>
  <si>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</si>
  <si>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</si>
  <si>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</si>
  <si>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</si>
  <si>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</si>
  <si>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</si>
  <si>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</si>
  <si>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</si>
  <si>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</si>
  <si>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</si>
  <si>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</si>
  <si>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</si>
  <si>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</si>
  <si>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</si>
  <si>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</si>
  <si>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</si>
  <si>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</si>
  <si>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</si>
  <si>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</si>
  <si>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</si>
  <si>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</si>
  <si>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</si>
  <si>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</si>
  <si>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</si>
  <si>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</si>
  <si>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</si>
  <si>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</si>
  <si>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</si>
  <si>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</si>
  <si>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</si>
  <si>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</si>
  <si>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</si>
  <si>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</si>
  <si>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</si>
  <si>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</si>
  <si>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</si>
  <si>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</si>
  <si>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</si>
  <si>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</si>
  <si>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</si>
  <si>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</si>
  <si>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</si>
  <si>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</si>
  <si>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</si>
  <si>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</si>
  <si>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</si>
  <si>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</si>
  <si>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</si>
  <si>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</si>
  <si>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</si>
  <si>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</si>
  <si>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</si>
  <si>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</si>
  <si>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</si>
  <si>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</si>
  <si>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</si>
  <si>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</si>
  <si>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</si>
  <si>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</si>
  <si>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</si>
  <si>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</si>
  <si>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</si>
  <si>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</si>
  <si>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</si>
  <si>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</si>
  <si>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</si>
  <si>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</si>
  <si>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</si>
  <si>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</si>
  <si>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</si>
  <si>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</si>
  <si>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</si>
  <si>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</si>
  <si>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</si>
  <si>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</si>
  <si>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</si>
  <si>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</si>
  <si>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</si>
  <si>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</si>
  <si>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</si>
  <si>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</si>
  <si>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</si>
  <si>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</si>
  <si>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</si>
  <si>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</si>
  <si>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</si>
  <si>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</si>
  <si>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</si>
  <si>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</si>
  <si>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</si>
  <si>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</si>
  <si>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</si>
  <si>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</si>
  <si>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</si>
  <si>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</si>
  <si>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</si>
  <si>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</si>
  <si>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</si>
  <si>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</si>
  <si>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</si>
  <si>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</si>
  <si>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</si>
  <si>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</si>
  <si>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</si>
  <si>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</si>
  <si>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</si>
  <si>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</si>
  <si>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</si>
  <si>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</si>
  <si>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</si>
  <si>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</si>
  <si>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</si>
  <si>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</si>
  <si>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</si>
  <si>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</si>
  <si>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</si>
  <si>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</si>
  <si>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</si>
  <si>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</si>
  <si>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</si>
  <si>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</si>
  <si>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</si>
  <si>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</si>
  <si>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</si>
  <si>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</si>
  <si>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</si>
  <si>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</si>
  <si>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</si>
  <si>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</si>
  <si>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</si>
  <si>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</si>
  <si>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</si>
  <si>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</si>
  <si>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</si>
  <si>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</si>
  <si>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</si>
  <si>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</si>
  <si>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</si>
  <si>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</si>
  <si>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</si>
  <si>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</si>
  <si>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</si>
  <si>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</si>
  <si>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</si>
  <si>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</si>
  <si>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</si>
  <si>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</si>
  <si>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</si>
  <si>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</si>
  <si>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</si>
  <si>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</si>
  <si>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</si>
  <si>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</si>
  <si>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</si>
  <si>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</si>
  <si>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</si>
  <si>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</si>
  <si>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</si>
  <si>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</si>
  <si>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</si>
  <si>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</si>
  <si>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</si>
  <si>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</si>
  <si>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</si>
  <si>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</si>
  <si>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</si>
  <si>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</si>
  <si>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</si>
  <si>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</si>
  <si>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</si>
  <si>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</si>
  <si>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</si>
  <si>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</si>
  <si>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</si>
  <si>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</si>
  <si>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</si>
  <si>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</si>
  <si>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</si>
  <si>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</si>
  <si>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</si>
  <si>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</si>
  <si>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</si>
  <si>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</si>
  <si>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</si>
  <si>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</si>
  <si>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</si>
  <si>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</si>
  <si>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</si>
  <si>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</si>
  <si>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</si>
  <si>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</si>
  <si>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</si>
  <si>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</si>
  <si>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</si>
  <si>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</si>
  <si>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</si>
  <si>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</si>
  <si>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</si>
  <si>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</si>
  <si>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</si>
  <si>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</si>
  <si>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</si>
  <si>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</si>
  <si>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</si>
  <si>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</si>
  <si>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</si>
  <si>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</si>
  <si>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</si>
  <si>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</si>
  <si>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</si>
  <si>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</si>
  <si>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</si>
  <si>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</si>
  <si>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</si>
  <si>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</si>
  <si>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</si>
  <si>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</si>
  <si>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</si>
  <si>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</si>
  <si>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</si>
  <si>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</si>
  <si>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</si>
  <si>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</si>
  <si>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</si>
  <si>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</si>
  <si>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</si>
  <si>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</si>
  <si>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</si>
  <si>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</si>
  <si>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</si>
  <si>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</si>
  <si>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</si>
  <si>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</si>
  <si>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</si>
  <si>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</si>
  <si>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</si>
  <si>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</si>
  <si>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</si>
  <si>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</si>
  <si>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</si>
  <si>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</si>
  <si>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</si>
  <si>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</si>
  <si>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</si>
  <si>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</si>
  <si>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</si>
  <si>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</si>
  <si>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</si>
  <si>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</si>
  <si>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</si>
  <si>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</si>
  <si>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</si>
  <si>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</si>
  <si>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</si>
  <si>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</si>
  <si>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</si>
  <si>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</si>
  <si>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</si>
  <si>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</si>
  <si>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</si>
  <si>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</si>
  <si>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</si>
  <si>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</si>
  <si>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</si>
  <si>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</si>
  <si>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</si>
  <si>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</si>
  <si>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</si>
  <si>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</si>
  <si>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</si>
  <si>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</si>
  <si>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</si>
  <si>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</si>
  <si>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</si>
  <si>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</si>
  <si>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</si>
  <si>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</si>
  <si>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</si>
  <si>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</si>
  <si>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</si>
  <si>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</si>
  <si>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</si>
  <si>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</si>
  <si>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</si>
  <si>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</si>
  <si>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</si>
  <si>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</si>
  <si>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</si>
  <si>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</si>
  <si>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</si>
  <si>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</si>
  <si>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</si>
  <si>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</si>
  <si>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</si>
  <si>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</si>
  <si>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</si>
  <si>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</si>
  <si>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</si>
  <si>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</si>
  <si>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</si>
  <si>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</si>
  <si>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</si>
  <si>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</si>
  <si>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</si>
  <si>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</si>
  <si>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</si>
  <si>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</si>
  <si>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</si>
  <si>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</si>
  <si>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</si>
  <si>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</si>
  <si>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</si>
  <si>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</si>
  <si>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</si>
  <si>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</si>
  <si>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</si>
  <si>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</si>
  <si>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</si>
  <si>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</si>
  <si>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</si>
  <si>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</si>
  <si>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</si>
  <si>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</si>
  <si>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</si>
  <si>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</si>
  <si>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</si>
  <si>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</si>
  <si>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</si>
  <si>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</si>
  <si>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</si>
  <si>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</si>
  <si>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</si>
  <si>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</si>
  <si>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</si>
  <si>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</si>
  <si>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</si>
  <si>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</si>
  <si>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</si>
  <si>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</si>
  <si>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</si>
  <si>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</si>
  <si>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</si>
  <si>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</si>
  <si>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</si>
  <si>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</si>
  <si>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</si>
  <si>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</si>
  <si>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</si>
  <si>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</si>
  <si>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</si>
  <si>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</si>
  <si>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</si>
  <si>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</si>
  <si>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</si>
  <si>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</si>
  <si>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</si>
  <si>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</si>
  <si>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</si>
  <si>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</si>
  <si>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</si>
  <si>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</si>
  <si>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</si>
  <si>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</si>
  <si>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</si>
  <si>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</si>
  <si>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</si>
  <si>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</si>
  <si>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</si>
  <si>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</si>
  <si>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</si>
  <si>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</si>
  <si>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</si>
  <si>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</si>
  <si>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</si>
  <si>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</si>
  <si>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</si>
  <si>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</si>
  <si>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</si>
  <si>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</si>
  <si>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</si>
  <si>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</si>
  <si>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</si>
  <si>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</si>
  <si>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</si>
  <si>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</si>
  <si>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</si>
  <si>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</si>
  <si>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</si>
  <si>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</si>
  <si>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</si>
  <si>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</si>
  <si>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</si>
  <si>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</si>
  <si>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</si>
  <si>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</si>
  <si>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</si>
  <si>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</si>
  <si>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</si>
  <si>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</si>
  <si>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</si>
  <si>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</si>
  <si>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</si>
  <si>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</si>
  <si>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</si>
  <si>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</si>
  <si>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</si>
  <si>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</si>
  <si>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</si>
  <si>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</si>
  <si>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</si>
  <si>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</si>
  <si>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</si>
  <si>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</si>
  <si>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</si>
  <si>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</si>
  <si>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</si>
  <si>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</si>
  <si>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</si>
  <si>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</si>
  <si>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</si>
  <si>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</si>
  <si>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</si>
  <si>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</si>
  <si>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</si>
  <si>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</si>
  <si>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</si>
  <si>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</si>
  <si>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</si>
  <si>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</si>
  <si>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</si>
  <si>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</si>
  <si>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</si>
  <si>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</si>
  <si>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</si>
  <si>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</si>
  <si>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</si>
  <si>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</si>
  <si>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</si>
  <si>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</si>
  <si>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</si>
  <si>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</si>
  <si>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</si>
  <si>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</si>
  <si>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</si>
  <si>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</si>
  <si>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</si>
  <si>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</si>
  <si>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</si>
  <si>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</si>
  <si>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</si>
  <si>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</si>
  <si>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</si>
  <si>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</si>
  <si>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</si>
  <si>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</si>
  <si>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</si>
  <si>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</si>
  <si>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</si>
  <si>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</si>
  <si>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</si>
  <si>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</si>
  <si>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</si>
  <si>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</si>
  <si>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</si>
  <si>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</si>
  <si>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</si>
  <si>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</si>
  <si>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</si>
  <si>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</si>
  <si>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</si>
  <si>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</si>
  <si>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</si>
  <si>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</si>
  <si>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</si>
  <si>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</si>
  <si>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</si>
  <si>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</si>
  <si>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</si>
  <si>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</si>
  <si>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</si>
  <si>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</si>
  <si>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</si>
  <si>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</si>
  <si>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</si>
  <si>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</si>
  <si>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</si>
  <si>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</si>
  <si>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</si>
  <si>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</si>
  <si>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</si>
  <si>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</si>
  <si>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</si>
  <si>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</si>
  <si>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</si>
  <si>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</si>
  <si>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</si>
  <si>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</si>
  <si>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</si>
  <si>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</si>
  <si>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</si>
  <si>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</si>
  <si>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</si>
  <si>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</si>
  <si>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</si>
  <si>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</si>
  <si>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</si>
  <si>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</si>
  <si>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</si>
  <si>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</si>
  <si>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</si>
  <si>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</si>
  <si>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</si>
  <si>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</si>
  <si>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</si>
  <si>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</si>
  <si>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</si>
  <si>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</si>
  <si>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</si>
  <si>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</si>
  <si>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</si>
  <si>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</si>
  <si>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</si>
  <si>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</si>
  <si>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</si>
  <si>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</si>
  <si>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</si>
  <si>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</si>
  <si>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</si>
  <si>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</si>
  <si>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</si>
  <si>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</si>
  <si>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</si>
  <si>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</si>
  <si>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</si>
  <si>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</si>
  <si>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</si>
  <si>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</si>
  <si>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</si>
  <si>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</si>
  <si>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</si>
  <si>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</si>
  <si>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</si>
  <si>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</si>
  <si>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</si>
  <si>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</si>
  <si>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</si>
  <si>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</si>
  <si>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</si>
  <si>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</si>
  <si>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</si>
  <si>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</si>
  <si>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</si>
  <si>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</si>
  <si>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</si>
  <si>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</si>
  <si>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</si>
  <si>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</si>
  <si>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</si>
  <si>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</si>
  <si>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</si>
  <si>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</si>
  <si>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</si>
  <si>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</si>
  <si>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</si>
  <si>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</si>
  <si>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</si>
  <si>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</si>
  <si>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</si>
  <si>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</si>
  <si>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</si>
  <si>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</si>
  <si>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</si>
  <si>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</si>
  <si>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</si>
  <si>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</si>
  <si>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</si>
  <si>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</si>
  <si>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</si>
  <si>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</si>
  <si>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</si>
  <si>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</si>
  <si>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</si>
  <si>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</si>
  <si>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</si>
  <si>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</si>
  <si>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</si>
  <si>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</si>
  <si>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</si>
  <si>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</si>
  <si>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</si>
  <si>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</si>
  <si>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</si>
  <si>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</si>
  <si>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</si>
  <si>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</si>
  <si>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</si>
  <si>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</si>
  <si>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</si>
  <si>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</si>
  <si>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</si>
  <si>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</si>
  <si>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</si>
  <si>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</si>
  <si>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</si>
  <si>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</si>
  <si>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</si>
  <si>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</si>
  <si>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</si>
  <si>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</si>
  <si>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</si>
  <si>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</si>
  <si>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</si>
  <si>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</si>
  <si>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</si>
  <si>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</si>
  <si>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</si>
  <si>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</si>
  <si>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</si>
  <si>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</si>
  <si>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</si>
  <si>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</si>
  <si>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</si>
  <si>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</si>
  <si>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</si>
  <si>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</si>
  <si>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</si>
  <si>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</si>
  <si>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</si>
  <si>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</si>
  <si>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</si>
  <si>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</si>
  <si>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</si>
  <si>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</si>
  <si>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</si>
  <si>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</si>
  <si>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</si>
  <si>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</si>
  <si>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</si>
  <si>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</si>
  <si>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</si>
  <si>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</si>
  <si>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</si>
  <si>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</si>
  <si>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</si>
  <si>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</si>
  <si>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</si>
  <si>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</si>
  <si>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</si>
  <si>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</si>
  <si>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</si>
  <si>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</si>
  <si>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</si>
  <si>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</si>
  <si>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</si>
  <si>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</si>
  <si>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</si>
  <si>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</si>
  <si>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</si>
  <si>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</si>
  <si>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</si>
  <si>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</si>
  <si>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</si>
  <si>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</si>
  <si>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</si>
  <si>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</si>
  <si>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</si>
  <si>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</si>
  <si>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</si>
  <si>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</si>
  <si>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</si>
  <si>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</si>
  <si>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</si>
  <si>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</si>
  <si>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</si>
  <si>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</si>
  <si>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</si>
  <si>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</si>
  <si>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</si>
  <si>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</si>
  <si>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</si>
  <si>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</si>
  <si>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</si>
  <si>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</si>
  <si>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</si>
  <si>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</si>
  <si>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</si>
  <si>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</si>
  <si>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</si>
  <si>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</si>
  <si>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</si>
  <si>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</si>
  <si>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</si>
  <si>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</si>
  <si>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</si>
  <si>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</si>
  <si>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</si>
  <si>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</si>
  <si>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</si>
  <si>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</si>
  <si>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</si>
  <si>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</si>
  <si>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</si>
  <si>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</si>
  <si>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</si>
  <si>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</si>
  <si>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</si>
  <si>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</si>
  <si>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</si>
  <si>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</si>
  <si>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</si>
  <si>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</si>
  <si>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</si>
  <si>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</si>
  <si>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</si>
  <si>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</si>
  <si>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</si>
  <si>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</si>
  <si>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</si>
  <si>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</si>
  <si>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</si>
  <si>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</si>
  <si>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</si>
  <si>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</si>
  <si>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</si>
  <si>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</si>
  <si>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</si>
  <si>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</si>
  <si>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</si>
  <si>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</si>
  <si>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</si>
  <si>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</si>
  <si>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</si>
  <si>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</si>
  <si>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</si>
  <si>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</si>
  <si>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</si>
  <si>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</si>
  <si>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</si>
  <si>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</si>
  <si>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</si>
  <si>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</si>
  <si>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</si>
  <si>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</si>
  <si>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</si>
  <si>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</si>
  <si>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</si>
  <si>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</si>
  <si>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</si>
  <si>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</si>
  <si>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</si>
  <si>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</si>
  <si>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</si>
  <si>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</si>
  <si>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</si>
  <si>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</si>
  <si>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</si>
  <si>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</si>
  <si>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</si>
  <si>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</si>
  <si>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</si>
  <si>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</si>
  <si>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</si>
  <si>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</si>
  <si>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</si>
  <si>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</si>
  <si>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</si>
  <si>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</si>
  <si>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</si>
  <si>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</si>
  <si>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</si>
  <si>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</si>
  <si>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</si>
  <si>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</si>
  <si>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</si>
  <si>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</si>
  <si>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</si>
  <si>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</si>
  <si>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</si>
  <si>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</si>
  <si>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</si>
  <si>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</si>
  <si>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</si>
  <si>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</si>
  <si>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</si>
  <si>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</si>
  <si>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</si>
  <si>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</si>
  <si>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</si>
  <si>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</si>
  <si>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</si>
  <si>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</si>
  <si>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</si>
  <si>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</si>
  <si>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</si>
  <si>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</si>
  <si>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</si>
  <si>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</si>
  <si>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</si>
  <si>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</si>
  <si>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</si>
  <si>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</si>
  <si>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</si>
  <si>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</si>
  <si>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</si>
  <si>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</si>
  <si>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</si>
  <si>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</si>
  <si>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</si>
  <si>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</si>
  <si>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</si>
  <si>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</si>
  <si>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</si>
  <si>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</si>
  <si>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</si>
  <si>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</si>
  <si>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</si>
  <si>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</si>
  <si>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</si>
  <si>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</si>
  <si>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</si>
  <si>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</si>
  <si>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</si>
  <si>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</si>
  <si>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</si>
  <si>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</si>
  <si>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</si>
  <si>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</si>
  <si>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</si>
  <si>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</si>
  <si>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</si>
  <si>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</si>
  <si>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</si>
  <si>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</si>
  <si>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</si>
  <si>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</si>
  <si>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</si>
  <si>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</si>
  <si>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</si>
  <si>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</si>
  <si>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</si>
  <si>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</si>
  <si>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</si>
  <si>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</si>
  <si>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</si>
  <si>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</si>
  <si>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</si>
  <si>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</si>
  <si>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</si>
  <si>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</si>
  <si>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</si>
  <si>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</si>
  <si>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</si>
  <si>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</si>
  <si>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</si>
  <si>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</si>
  <si>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</si>
  <si>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</si>
  <si>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</si>
  <si>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</si>
  <si>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</si>
  <si>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</si>
  <si>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</si>
  <si>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</si>
  <si>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</si>
  <si>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</si>
  <si>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</si>
  <si>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</si>
  <si>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</si>
  <si>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</si>
  <si>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</si>
  <si>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</si>
  <si>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</si>
  <si>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</si>
  <si>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</si>
  <si>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</si>
  <si>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</si>
  <si>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</si>
  <si>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</si>
  <si>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</si>
  <si>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</si>
  <si>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</si>
  <si>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</si>
  <si>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</si>
  <si>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</si>
  <si>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</si>
  <si>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</si>
  <si>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</si>
  <si>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</si>
  <si>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</si>
  <si>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</si>
  <si>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</si>
  <si>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</si>
  <si>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</si>
  <si>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</si>
  <si>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</si>
  <si>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</si>
  <si>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</si>
  <si>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</si>
  <si>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</si>
  <si>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</si>
  <si>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</si>
  <si>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</si>
  <si>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</si>
  <si>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</si>
  <si>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</si>
  <si>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</si>
  <si>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</si>
  <si>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</si>
  <si>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</si>
  <si>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</si>
  <si>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</si>
  <si>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</si>
  <si>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</si>
  <si>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</si>
  <si>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</si>
  <si>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</si>
  <si>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</si>
  <si>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</si>
  <si>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</si>
  <si>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</si>
  <si>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</si>
  <si>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</si>
  <si>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</si>
  <si>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</si>
  <si>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</si>
  <si>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</si>
  <si>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</si>
  <si>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</si>
  <si>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</si>
  <si>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</si>
  <si>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</si>
  <si>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</si>
  <si>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</si>
  <si>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</si>
  <si>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</si>
  <si>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</si>
  <si>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</si>
  <si>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</si>
  <si>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</si>
  <si>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</si>
  <si>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</si>
  <si>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</si>
  <si>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</si>
  <si>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</si>
  <si>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</si>
  <si>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</si>
  <si>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</si>
  <si>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</si>
  <si>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</si>
  <si>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</si>
  <si>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</si>
  <si>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</si>
  <si>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</si>
  <si>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</si>
  <si>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</si>
  <si>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</si>
  <si>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</si>
  <si>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</si>
  <si>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</si>
  <si>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</si>
  <si>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</si>
  <si>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</si>
  <si>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</si>
  <si>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</si>
  <si>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</si>
  <si>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</si>
  <si>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</si>
  <si>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</si>
  <si>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</si>
  <si>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</si>
  <si>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</si>
  <si>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</si>
  <si>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</si>
  <si>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</si>
  <si>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</si>
  <si>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</si>
  <si>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</si>
  <si>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</si>
  <si>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</si>
  <si>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</si>
  <si>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</si>
  <si>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</si>
  <si>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</si>
  <si>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</si>
  <si>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</si>
  <si>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</si>
  <si>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</si>
  <si>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</si>
  <si>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</si>
  <si>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</si>
  <si>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</si>
  <si>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</si>
  <si>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</si>
  <si>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</si>
  <si>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</si>
  <si>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</si>
  <si>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</si>
  <si>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</si>
  <si>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</si>
  <si>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</si>
  <si>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</si>
  <si>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</si>
  <si>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</si>
  <si>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</si>
  <si>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</si>
  <si>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</si>
  <si>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</si>
  <si>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</si>
  <si>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</si>
  <si>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</si>
  <si>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</si>
  <si>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</si>
  <si>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</si>
  <si>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</si>
  <si>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</si>
  <si>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</si>
  <si>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</si>
  <si>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</si>
  <si>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</si>
  <si>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</si>
  <si>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</si>
  <si>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</si>
  <si>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</si>
  <si>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</si>
  <si>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</si>
  <si>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</si>
  <si>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</si>
  <si>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</si>
  <si>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</si>
  <si>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</si>
  <si>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</si>
  <si>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</si>
  <si>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</si>
  <si>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</si>
  <si>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</si>
  <si>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</si>
  <si>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</si>
  <si>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</si>
  <si>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</si>
  <si>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</si>
  <si>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</si>
  <si>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</si>
  <si>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</si>
  <si>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</si>
  <si>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</si>
  <si>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</si>
  <si>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</si>
  <si>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</si>
  <si>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</si>
  <si>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</si>
  <si>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</si>
  <si>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</si>
  <si>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</si>
  <si>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</si>
  <si>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</si>
  <si>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</si>
  <si>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</si>
  <si>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</si>
  <si>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</si>
  <si>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</si>
  <si>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</si>
  <si>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</si>
  <si>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</si>
  <si>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</si>
  <si>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</si>
  <si>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</si>
  <si>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</si>
  <si>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</si>
  <si>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</si>
  <si>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</si>
  <si>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</si>
  <si>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</si>
  <si>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</si>
  <si>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</si>
  <si>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</si>
  <si>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</si>
  <si>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</si>
  <si>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</si>
  <si>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</si>
  <si>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</si>
  <si>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</si>
  <si>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</si>
  <si>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</si>
  <si>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</si>
  <si>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</si>
  <si>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</si>
  <si>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</si>
  <si>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</si>
  <si>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</si>
  <si>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</si>
  <si>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</si>
  <si>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</si>
  <si>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</si>
  <si>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</si>
  <si>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</si>
  <si>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</si>
  <si>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</si>
  <si>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</si>
  <si>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</si>
  <si>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</si>
  <si>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</si>
  <si>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</si>
  <si>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</si>
  <si>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</si>
  <si>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</si>
  <si>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</si>
  <si>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</si>
  <si>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</si>
  <si>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</si>
  <si>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</si>
  <si>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</si>
  <si>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</si>
  <si>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</si>
  <si>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</si>
  <si>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</si>
  <si>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</si>
  <si>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</si>
  <si>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</si>
  <si>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</si>
  <si>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</si>
  <si>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</si>
  <si>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</si>
  <si>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</si>
  <si>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</si>
  <si>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</si>
  <si>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</si>
  <si>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</si>
  <si>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</si>
  <si>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</si>
  <si>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</si>
  <si>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</si>
  <si>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</si>
  <si>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</si>
  <si>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</si>
  <si>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</si>
  <si>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</si>
  <si>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</si>
  <si>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</si>
  <si>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</si>
  <si>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</si>
  <si>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</si>
  <si>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</si>
  <si>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</si>
  <si>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</si>
  <si>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</si>
  <si>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</si>
  <si>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</si>
  <si>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</si>
  <si>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</si>
  <si>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</si>
  <si>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</si>
  <si>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</si>
  <si>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</si>
  <si>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</si>
  <si>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</si>
  <si>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</si>
  <si>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</si>
  <si>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</si>
  <si>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</si>
  <si>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</si>
  <si>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</si>
  <si>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</si>
  <si>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</si>
  <si>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</si>
  <si>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</si>
  <si>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</si>
  <si>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</si>
  <si>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</si>
  <si>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</si>
  <si>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</si>
  <si>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</si>
  <si>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</si>
  <si>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</si>
  <si>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</si>
  <si>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</si>
  <si>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</si>
  <si>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</si>
  <si>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</si>
  <si>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</si>
  <si>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</si>
  <si>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</si>
  <si>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</si>
  <si>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</si>
  <si>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</si>
  <si>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</si>
  <si>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</si>
  <si>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</si>
  <si>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</si>
  <si>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</si>
  <si>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</si>
  <si>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</si>
  <si>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</si>
  <si>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</si>
  <si>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</si>
  <si>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</si>
  <si>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</si>
  <si>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</si>
  <si>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</si>
  <si>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</si>
  <si>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</si>
  <si>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</si>
  <si>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</si>
  <si>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</si>
  <si>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</si>
  <si>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</si>
  <si>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</si>
  <si>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</si>
  <si>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</si>
  <si>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</si>
  <si>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</si>
  <si>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</si>
  <si>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</si>
  <si>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</si>
  <si>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</si>
  <si>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</si>
  <si>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</si>
  <si>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</si>
  <si>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</si>
  <si>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</si>
  <si>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</si>
  <si>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</si>
  <si>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</si>
  <si>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</si>
  <si>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</si>
  <si>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</si>
  <si>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</si>
  <si>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</si>
  <si>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</si>
  <si>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</si>
  <si>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</si>
  <si>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</si>
  <si>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</si>
  <si>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</si>
  <si>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</si>
  <si>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</si>
  <si>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</si>
  <si>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</si>
  <si>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</si>
  <si>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</si>
  <si>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</si>
  <si>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</si>
  <si>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</si>
  <si>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</si>
  <si>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</si>
  <si>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</si>
  <si>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</si>
  <si>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</si>
  <si>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</si>
  <si>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</si>
  <si>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</si>
  <si>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</si>
  <si>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</si>
  <si>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</si>
  <si>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</si>
  <si>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</si>
  <si>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</si>
  <si>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</si>
  <si>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</si>
  <si>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</si>
  <si>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</si>
  <si>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</si>
  <si>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</si>
  <si>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</si>
  <si>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</si>
  <si>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</si>
  <si>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</si>
  <si>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</si>
  <si>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</si>
  <si>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</si>
  <si>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</si>
  <si>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</si>
  <si>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</si>
  <si>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</si>
  <si>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</si>
  <si>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</si>
  <si>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</si>
  <si>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</si>
  <si>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</si>
  <si>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</si>
  <si>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</si>
  <si>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</si>
  <si>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</si>
  <si>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</si>
  <si>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</si>
  <si>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</si>
  <si>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</si>
  <si>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</si>
  <si>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</si>
  <si>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</si>
  <si>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</si>
  <si>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</si>
  <si>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</si>
  <si>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</si>
  <si>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</si>
  <si>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</si>
  <si>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</si>
  <si>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</si>
  <si>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</si>
  <si>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</si>
  <si>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</si>
  <si>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</si>
  <si>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</si>
  <si>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</si>
  <si>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</si>
  <si>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</si>
  <si>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</si>
  <si>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</si>
  <si>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</si>
  <si>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</si>
  <si>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</si>
  <si>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</si>
  <si>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</si>
  <si>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</si>
  <si>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</si>
  <si>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</si>
  <si>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</si>
  <si>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</si>
  <si>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</si>
  <si>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</si>
  <si>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</si>
  <si>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</si>
  <si>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</si>
  <si>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</si>
  <si>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</si>
  <si>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</si>
  <si>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</si>
  <si>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</si>
  <si>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</si>
  <si>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</si>
  <si>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</si>
  <si>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</si>
  <si>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</si>
  <si>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</si>
  <si>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</si>
  <si>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</si>
  <si>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</si>
  <si>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</si>
  <si>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</si>
  <si>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</si>
  <si>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</si>
  <si>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</si>
  <si>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</si>
  <si>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</si>
  <si>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</si>
  <si>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</si>
  <si>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</si>
  <si>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</si>
  <si>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</si>
  <si>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</si>
  <si>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</si>
  <si>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</si>
  <si>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</si>
  <si>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</si>
  <si>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</si>
  <si>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</si>
  <si>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</si>
  <si>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</si>
  <si>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</si>
  <si>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</si>
  <si>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</si>
  <si>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</si>
  <si>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</si>
  <si>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</si>
  <si>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</si>
  <si>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</si>
  <si>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</si>
  <si>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</si>
  <si>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</si>
  <si>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</si>
  <si>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</si>
  <si>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</si>
  <si>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</si>
  <si>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</si>
  <si>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</si>
  <si>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</si>
  <si>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</si>
  <si>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</si>
  <si>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</si>
  <si>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</si>
  <si>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</si>
  <si>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</si>
  <si>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</si>
  <si>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</si>
  <si>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</si>
  <si>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</si>
  <si>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</si>
  <si>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</si>
  <si>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</si>
  <si>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</si>
  <si>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</si>
  <si>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</si>
  <si>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</si>
  <si>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</si>
  <si>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</si>
  <si>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</si>
  <si>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</si>
  <si>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</si>
  <si>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</si>
  <si>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</si>
  <si>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</si>
  <si>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</si>
  <si>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</si>
  <si>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</si>
  <si>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</si>
  <si>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</si>
  <si>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</si>
  <si>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</si>
  <si>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</si>
  <si>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</si>
  <si>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</si>
  <si>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</si>
  <si>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</si>
  <si>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</si>
  <si>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</si>
  <si>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</si>
  <si>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</si>
  <si>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</si>
  <si>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</si>
  <si>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</si>
  <si>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</si>
  <si>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</si>
  <si>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</si>
  <si>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</si>
  <si>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</si>
  <si>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</si>
  <si>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</si>
  <si>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</si>
  <si>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</si>
  <si>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</si>
  <si>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</si>
  <si>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</si>
  <si>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</si>
  <si>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</si>
  <si>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</si>
  <si>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</si>
  <si>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</si>
  <si>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</si>
  <si>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</si>
  <si>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</si>
  <si>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</si>
  <si>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</si>
  <si>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</si>
  <si>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</si>
  <si>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</si>
  <si>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</si>
  <si>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</si>
  <si>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</si>
  <si>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</si>
  <si>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</si>
  <si>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</si>
  <si>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</si>
  <si>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</si>
  <si>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</si>
  <si>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</si>
  <si>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</si>
  <si>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</si>
  <si>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</si>
  <si>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</si>
  <si>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</si>
  <si>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</si>
  <si>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</si>
  <si>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</si>
  <si>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</si>
  <si>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</si>
  <si>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</si>
  <si>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</si>
  <si>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</si>
  <si>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</si>
  <si>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</si>
  <si>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</si>
  <si>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</si>
  <si>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</si>
  <si>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</si>
  <si>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</si>
  <si>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</si>
  <si>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</si>
  <si>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</si>
  <si>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</si>
  <si>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</si>
  <si>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</si>
  <si>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</si>
  <si>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</si>
  <si>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</si>
  <si>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</si>
  <si>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</si>
  <si>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</si>
  <si>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</si>
  <si>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</si>
  <si>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</si>
  <si>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</si>
  <si>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</si>
  <si>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</si>
  <si>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</si>
  <si>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</si>
  <si>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</si>
  <si>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</si>
  <si>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</si>
  <si>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</si>
  <si>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</si>
  <si>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</si>
  <si>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</si>
  <si>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</si>
  <si>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</si>
  <si>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</si>
  <si>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</si>
  <si>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</si>
  <si>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</si>
  <si>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</si>
  <si>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</si>
  <si>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</si>
  <si>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</si>
  <si>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</si>
  <si>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</si>
  <si>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</si>
  <si>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</si>
  <si>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</si>
  <si>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</si>
  <si>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</si>
  <si>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</si>
  <si>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</si>
  <si>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</si>
  <si>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</si>
  <si>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</si>
  <si>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</si>
  <si>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</si>
  <si>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</si>
  <si>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</si>
  <si>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</si>
  <si>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</si>
  <si>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</si>
  <si>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</si>
  <si>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</si>
  <si>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</si>
  <si>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</si>
  <si>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</si>
  <si>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</si>
  <si>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</si>
  <si>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</si>
  <si>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</si>
  <si>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</si>
  <si>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</si>
  <si>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</si>
  <si>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</si>
  <si>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</si>
  <si>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</si>
  <si>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</si>
  <si>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</si>
  <si>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</si>
  <si>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</si>
  <si>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</si>
  <si>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</si>
  <si>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</si>
  <si>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</si>
  <si>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</si>
  <si>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</si>
  <si>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</si>
  <si>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</si>
  <si>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</si>
  <si>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</si>
  <si>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</si>
  <si>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</si>
  <si>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</si>
  <si>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</si>
  <si>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</si>
  <si>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</si>
  <si>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</si>
  <si>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</si>
  <si>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</si>
  <si>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</si>
  <si>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</si>
  <si>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</si>
  <si>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</si>
  <si>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</si>
  <si>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</si>
  <si>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</si>
  <si>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</si>
  <si>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</si>
  <si>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</si>
  <si>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</si>
  <si>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</si>
  <si>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</si>
  <si>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</si>
  <si>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</si>
  <si>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</si>
  <si>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</si>
  <si>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</si>
  <si>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</si>
  <si>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</si>
  <si>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</si>
  <si>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</si>
  <si>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</si>
  <si>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</si>
  <si>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</si>
  <si>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</si>
  <si>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</si>
  <si>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</si>
  <si>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</si>
  <si>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</si>
  <si>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</si>
  <si>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</si>
  <si>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</si>
  <si>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</si>
  <si>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</si>
  <si>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</si>
  <si>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</si>
  <si>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</si>
  <si>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</si>
  <si>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</si>
  <si>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</si>
  <si>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</si>
  <si>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</si>
  <si>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</si>
  <si>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</si>
  <si>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</si>
  <si>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</si>
  <si>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</si>
  <si>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</si>
  <si>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</si>
  <si>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</si>
  <si>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</si>
  <si>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</si>
  <si>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</si>
  <si>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</si>
  <si>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</si>
  <si>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</si>
  <si>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</si>
  <si>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</si>
  <si>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</si>
  <si>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</si>
  <si>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</si>
  <si>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</si>
  <si>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</si>
  <si>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</si>
  <si>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</si>
  <si>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</si>
  <si>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</si>
  <si>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</si>
  <si>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</si>
  <si>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</si>
  <si>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</si>
  <si>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</si>
  <si>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</si>
  <si>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</si>
  <si>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</si>
  <si>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</si>
  <si>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</si>
  <si>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</si>
  <si>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</si>
  <si>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</si>
  <si>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</si>
  <si>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</si>
  <si>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</si>
  <si>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</si>
  <si>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</si>
  <si>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</si>
  <si>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</si>
  <si>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</si>
  <si>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</si>
  <si>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</si>
  <si>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</si>
  <si>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</si>
  <si>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</si>
  <si>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</si>
  <si>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</si>
  <si>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</si>
  <si>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</si>
  <si>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</si>
  <si>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</si>
  <si>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</si>
  <si>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</si>
  <si>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</si>
  <si>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</si>
  <si>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</si>
  <si>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</si>
  <si>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</si>
  <si>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</si>
  <si>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</si>
  <si>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</si>
  <si>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</si>
  <si>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</si>
  <si>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</si>
  <si>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</si>
  <si>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</si>
  <si>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</si>
  <si>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</si>
  <si>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</si>
  <si>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</si>
  <si>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</si>
  <si>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</si>
  <si>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</si>
  <si>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</si>
  <si>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</si>
  <si>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</si>
  <si>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</si>
  <si>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</si>
  <si>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</si>
  <si>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</si>
  <si>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</si>
  <si>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</si>
  <si>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</si>
  <si>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</si>
  <si>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</si>
  <si>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</si>
  <si>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</si>
  <si>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</si>
  <si>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</si>
  <si>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</si>
  <si>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</si>
  <si>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</si>
  <si>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</si>
  <si>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</si>
  <si>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</si>
  <si>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</si>
  <si>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</si>
  <si>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</si>
  <si>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</si>
  <si>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</si>
  <si>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</si>
  <si>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</si>
  <si>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</si>
  <si>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</si>
  <si>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</si>
  <si>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</si>
  <si>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</si>
  <si>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</si>
  <si>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</si>
  <si>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</si>
  <si>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</si>
  <si>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</si>
  <si>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</si>
  <si>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</si>
  <si>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</si>
  <si>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</si>
  <si>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</si>
  <si>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</si>
  <si>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</si>
  <si>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</si>
  <si>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</si>
  <si>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</si>
  <si>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</si>
  <si>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</si>
  <si>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</si>
  <si>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</si>
  <si>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</si>
  <si>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</si>
  <si>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</si>
  <si>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</si>
  <si>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</si>
  <si>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</si>
  <si>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</si>
  <si>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</si>
  <si>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</si>
  <si>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</si>
  <si>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</si>
  <si>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</si>
  <si>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</si>
  <si>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</si>
  <si>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</si>
  <si>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</si>
  <si>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</si>
  <si>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</si>
  <si>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</si>
  <si>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</si>
  <si>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</si>
  <si>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</si>
  <si>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</si>
  <si>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</si>
  <si>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</si>
  <si>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</si>
  <si>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</si>
  <si>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</si>
  <si>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</si>
  <si>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</si>
  <si>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</si>
  <si>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</si>
  <si>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</si>
  <si>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</si>
  <si>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</si>
  <si>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</si>
  <si>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</si>
  <si>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</si>
  <si>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</si>
  <si>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</si>
  <si>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</si>
  <si>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</si>
  <si>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</si>
  <si>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</si>
  <si>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</si>
  <si>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</si>
  <si>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</si>
  <si>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</si>
  <si>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</si>
  <si>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</si>
  <si>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</si>
  <si>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</si>
  <si>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</si>
  <si>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</si>
  <si>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</si>
  <si>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</si>
  <si>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</si>
  <si>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</si>
  <si>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</si>
  <si>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</si>
  <si>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</si>
  <si>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</si>
  <si>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</si>
  <si>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</si>
  <si>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</si>
  <si>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</si>
  <si>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</si>
  <si>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</si>
  <si>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</si>
  <si>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</si>
  <si>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</si>
  <si>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</si>
  <si>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</si>
  <si>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</si>
  <si>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</si>
  <si>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</si>
  <si>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</si>
  <si>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</si>
  <si>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</si>
  <si>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</si>
  <si>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</si>
  <si>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</si>
  <si>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</si>
  <si>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</si>
  <si>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</si>
  <si>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</si>
  <si>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</si>
  <si>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</si>
  <si>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</si>
  <si>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</si>
  <si>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</si>
  <si>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</si>
  <si>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</si>
  <si>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</si>
  <si>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</si>
  <si>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</si>
  <si>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</si>
  <si>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</si>
  <si>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</si>
  <si>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</si>
  <si>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</si>
  <si>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</si>
  <si>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</si>
  <si>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</si>
  <si>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</si>
  <si>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</si>
  <si>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</si>
  <si>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</si>
  <si>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</si>
  <si>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</si>
  <si>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</si>
  <si>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</si>
  <si>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</si>
  <si>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</si>
  <si>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</si>
  <si>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</si>
  <si>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</si>
  <si>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</si>
  <si>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</si>
  <si>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</si>
  <si>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</si>
  <si>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</si>
  <si>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</si>
  <si>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</si>
  <si>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</si>
  <si>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</si>
  <si>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</si>
  <si>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</si>
  <si>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</si>
  <si>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</si>
  <si>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</si>
  <si>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</si>
  <si>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</si>
  <si>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</si>
  <si>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</si>
  <si>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</si>
  <si>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</si>
  <si>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</si>
  <si>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</si>
  <si>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</si>
  <si>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</si>
  <si>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</si>
  <si>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</si>
  <si>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</si>
  <si>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</si>
  <si>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</si>
  <si>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</si>
  <si>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</si>
  <si>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</si>
  <si>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</si>
  <si>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</si>
  <si>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</si>
  <si>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</si>
  <si>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</si>
  <si>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</si>
  <si>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</si>
  <si>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</si>
  <si>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</si>
  <si>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</si>
  <si>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</si>
  <si>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</si>
  <si>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</si>
  <si>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</si>
  <si>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</si>
  <si>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</si>
  <si>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</si>
  <si>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</si>
  <si>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</si>
  <si>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</si>
  <si>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</si>
  <si>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</si>
  <si>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</si>
  <si>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</si>
  <si>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</si>
  <si>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</si>
  <si>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</si>
  <si>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</si>
  <si>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</si>
  <si>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</si>
  <si>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</si>
  <si>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</si>
  <si>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</si>
  <si>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</si>
  <si>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</si>
  <si>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</si>
  <si>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</si>
  <si>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</si>
  <si>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</si>
  <si>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</si>
  <si>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</si>
  <si>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</si>
  <si>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</si>
  <si>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</si>
  <si>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</si>
  <si>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</si>
  <si>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</si>
  <si>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</si>
  <si>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</si>
  <si>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</si>
  <si>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</si>
  <si>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</si>
  <si>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</si>
  <si>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</si>
  <si>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</si>
  <si>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</si>
  <si>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</si>
  <si>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</si>
  <si>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</si>
  <si>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</si>
  <si>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</si>
  <si>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</si>
  <si>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</si>
  <si>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</si>
  <si>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</si>
  <si>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</si>
  <si>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</si>
  <si>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</si>
  <si>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</si>
  <si>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</si>
  <si>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</si>
  <si>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</si>
  <si>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</si>
  <si>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</si>
  <si>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</si>
  <si>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</si>
  <si>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</si>
  <si>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</si>
  <si>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</si>
  <si>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</si>
  <si>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</si>
  <si>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</si>
  <si>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</si>
  <si>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</si>
  <si>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</si>
  <si>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</si>
  <si>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</si>
  <si>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</si>
  <si>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</si>
  <si>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</si>
  <si>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</si>
  <si>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</si>
  <si>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</si>
  <si>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</si>
  <si>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</si>
  <si>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</si>
  <si>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</si>
  <si>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</si>
  <si>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</si>
  <si>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</si>
  <si>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</si>
  <si>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</si>
  <si>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</si>
  <si>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</si>
  <si>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</si>
  <si>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</si>
  <si>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</si>
  <si>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</si>
  <si>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</si>
  <si>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</si>
  <si>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</si>
  <si>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</si>
  <si>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</si>
  <si>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</si>
  <si>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</si>
  <si>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</si>
  <si>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</si>
  <si>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</si>
  <si>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</si>
  <si>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</si>
  <si>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</si>
  <si>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</si>
  <si>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</si>
  <si>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</si>
  <si>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</si>
  <si>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</si>
  <si>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</si>
  <si>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</si>
  <si>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</si>
  <si>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</si>
  <si>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</si>
  <si>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</si>
  <si>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</si>
  <si>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</si>
  <si>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</si>
  <si>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</si>
  <si>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</si>
  <si>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</si>
  <si>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</si>
  <si>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</si>
  <si>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</si>
  <si>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</si>
  <si>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</si>
  <si>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</si>
  <si>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</si>
  <si>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</si>
  <si>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</si>
  <si>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</si>
  <si>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</si>
  <si>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</si>
  <si>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</si>
  <si>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</si>
  <si>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</si>
  <si>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</si>
  <si>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</si>
  <si>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</si>
  <si>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</si>
  <si>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</si>
  <si>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</si>
  <si>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</si>
  <si>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</si>
  <si>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</si>
  <si>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</si>
  <si>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</si>
  <si>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</si>
  <si>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</si>
  <si>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</si>
  <si>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</si>
  <si>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</si>
  <si>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</si>
  <si>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</si>
  <si>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</si>
  <si>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</si>
  <si>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</si>
  <si>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</si>
  <si>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</si>
  <si>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</si>
  <si>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</si>
  <si>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</si>
  <si>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</si>
  <si>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</si>
  <si>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</si>
  <si>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</si>
  <si>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</si>
  <si>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</si>
  <si>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</si>
  <si>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</si>
  <si>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</si>
  <si>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</si>
  <si>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</si>
  <si>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</si>
  <si>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</si>
  <si>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</si>
  <si>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</si>
  <si>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</si>
  <si>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</si>
  <si>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</si>
  <si>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</si>
  <si>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</si>
  <si>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</si>
  <si>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</si>
  <si>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</si>
  <si>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</si>
  <si>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</si>
  <si>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</si>
  <si>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</si>
  <si>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</si>
  <si>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</si>
  <si>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</si>
  <si>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</si>
  <si>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</si>
  <si>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</si>
  <si>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</si>
  <si>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</si>
  <si>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</si>
  <si>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</si>
  <si>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</si>
  <si>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</si>
  <si>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</si>
  <si>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</si>
  <si>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</si>
  <si>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</si>
  <si>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</si>
  <si>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</si>
  <si>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</si>
  <si>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</si>
  <si>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</si>
  <si>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</si>
  <si>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</si>
  <si>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</si>
  <si>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</si>
  <si>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</si>
  <si>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</si>
  <si>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</si>
  <si>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</si>
  <si>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</si>
  <si>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</si>
  <si>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</si>
  <si>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</si>
  <si>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</si>
  <si>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</si>
  <si>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</si>
  <si>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</si>
  <si>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</si>
  <si>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</si>
  <si>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</si>
  <si>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</si>
  <si>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</si>
  <si>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</si>
  <si>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</si>
  <si>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</si>
  <si>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</si>
  <si>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</si>
  <si>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</si>
  <si>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</si>
  <si>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</si>
  <si>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</si>
  <si>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</si>
  <si>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</si>
  <si>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</si>
  <si>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</si>
  <si>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</si>
  <si>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</si>
  <si>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</si>
  <si>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</si>
  <si>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</si>
  <si>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</si>
  <si>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</si>
  <si>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</si>
  <si>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</si>
  <si>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</si>
  <si>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</si>
  <si>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</si>
  <si>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</si>
  <si>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</si>
  <si>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</si>
  <si>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</si>
  <si>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</si>
  <si>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</si>
  <si>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</si>
  <si>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</si>
  <si>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</si>
  <si>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</si>
  <si>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</si>
  <si>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</si>
  <si>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</si>
  <si>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</si>
  <si>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</si>
  <si>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</si>
  <si>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</si>
  <si>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</si>
  <si>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</si>
  <si>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</si>
  <si>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</si>
  <si>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</si>
  <si>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</si>
  <si>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</si>
  <si>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</si>
  <si>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</si>
  <si>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</si>
  <si>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</si>
  <si>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</si>
  <si>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</si>
  <si>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</si>
  <si>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</si>
  <si>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</si>
  <si>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</si>
  <si>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</si>
  <si>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</si>
  <si>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</si>
  <si>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</si>
  <si>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</si>
  <si>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</si>
  <si>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</si>
  <si>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</si>
  <si>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</si>
  <si>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</si>
  <si>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</si>
  <si>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</si>
  <si>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</si>
  <si>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</si>
  <si>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</si>
  <si>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</si>
  <si>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</si>
  <si>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</si>
  <si>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</si>
  <si>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</si>
  <si>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</si>
  <si>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</si>
  <si>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</si>
  <si>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</si>
  <si>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</si>
  <si>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</si>
  <si>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</si>
  <si>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</si>
  <si>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</si>
  <si>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</si>
  <si>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</si>
  <si>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</si>
  <si>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</si>
  <si>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</si>
  <si>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</si>
  <si>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</si>
  <si>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</si>
  <si>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</si>
  <si>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</si>
  <si>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</si>
  <si>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</si>
  <si>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</si>
  <si>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</si>
  <si>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</si>
  <si>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</si>
  <si>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</si>
  <si>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</si>
  <si>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</si>
  <si>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</si>
  <si>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</si>
  <si>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</si>
  <si>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</si>
  <si>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</si>
  <si>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</si>
  <si>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</si>
  <si>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</si>
  <si>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</si>
  <si>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</si>
  <si>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</si>
  <si>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</si>
  <si>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</si>
  <si>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</si>
  <si>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</si>
  <si>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</si>
  <si>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</si>
  <si>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</si>
  <si>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</si>
  <si>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</si>
  <si>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</si>
  <si>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</si>
  <si>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</si>
  <si>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</si>
  <si>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</si>
  <si>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</si>
  <si>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</si>
  <si>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</si>
  <si>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</si>
  <si>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</si>
  <si>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</si>
  <si>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</si>
  <si>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</si>
  <si>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</si>
  <si>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</si>
  <si>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</si>
  <si>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</si>
  <si>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</si>
  <si>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</si>
  <si>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</si>
  <si>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</si>
  <si>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</si>
  <si>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</si>
  <si>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</si>
  <si>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</si>
  <si>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</si>
  <si>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</si>
  <si>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</si>
  <si>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</si>
  <si>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</si>
  <si>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</si>
  <si>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</si>
  <si>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</si>
  <si>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</si>
  <si>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</si>
  <si>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</si>
  <si>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</si>
  <si>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</si>
  <si>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</si>
  <si>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</si>
  <si>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</si>
  <si>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</si>
  <si>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</si>
  <si>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</si>
  <si>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</si>
  <si>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</si>
  <si>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</si>
  <si>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</si>
  <si>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</si>
  <si>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</si>
  <si>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</si>
  <si>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</si>
  <si>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</si>
  <si>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</si>
  <si>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</si>
  <si>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</si>
  <si>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</si>
  <si>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</si>
  <si>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</si>
  <si>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</si>
  <si>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</si>
  <si>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</si>
  <si>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</si>
  <si>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</si>
  <si>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</si>
  <si>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</si>
  <si>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</si>
  <si>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</si>
  <si>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</si>
  <si>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</si>
  <si>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</si>
  <si>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</si>
  <si>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</si>
  <si>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</si>
  <si>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</si>
  <si>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</si>
  <si>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</si>
  <si>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</si>
  <si>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</si>
  <si>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</si>
  <si>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</si>
  <si>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</si>
  <si>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</si>
  <si>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</si>
  <si>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</si>
  <si>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</si>
  <si>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</si>
  <si>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</si>
  <si>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</si>
  <si>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</si>
  <si>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</si>
  <si>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</si>
  <si>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</si>
  <si>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</si>
  <si>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</si>
  <si>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</si>
  <si>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</si>
  <si>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</si>
  <si>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</si>
  <si>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</si>
  <si>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</si>
  <si>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</si>
  <si>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</si>
  <si>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</si>
  <si>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</si>
  <si>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</si>
  <si>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</si>
  <si>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</si>
  <si>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</si>
  <si>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</si>
  <si>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</si>
  <si>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</si>
  <si>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</si>
  <si>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</si>
  <si>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</si>
  <si>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</si>
  <si>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</si>
  <si>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</si>
  <si>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</si>
  <si>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</si>
  <si>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</si>
  <si>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</si>
  <si>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</si>
  <si>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</si>
  <si>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</si>
  <si>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</si>
  <si>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</si>
  <si>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</si>
  <si>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</si>
  <si>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</si>
  <si>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</si>
  <si>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</si>
  <si>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</si>
  <si>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</si>
  <si>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</si>
  <si>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</si>
  <si>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</si>
  <si>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</si>
  <si>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</si>
  <si>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</si>
  <si>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</si>
  <si>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</si>
  <si>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</si>
  <si>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</si>
  <si>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</si>
  <si>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</si>
  <si>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</si>
  <si>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</si>
  <si>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</si>
  <si>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</si>
  <si>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</si>
  <si>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</si>
  <si>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</si>
  <si>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</si>
  <si>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</si>
  <si>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</si>
  <si>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</si>
  <si>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</si>
  <si>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</si>
  <si>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</si>
  <si>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</si>
  <si>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</si>
  <si>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</si>
  <si>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</si>
  <si>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</si>
  <si>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</si>
  <si>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</si>
  <si>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</si>
  <si>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</si>
  <si>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</si>
  <si>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</si>
  <si>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</si>
  <si>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</si>
  <si>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</si>
  <si>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</si>
  <si>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</si>
  <si>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</si>
  <si>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</si>
  <si>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</si>
  <si>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</si>
  <si>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</si>
  <si>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</si>
  <si>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</si>
  <si>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</si>
  <si>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</si>
  <si>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</si>
  <si>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</si>
  <si>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</si>
  <si>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</si>
  <si>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</si>
  <si>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</si>
  <si>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</si>
  <si>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</si>
  <si>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</si>
  <si>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</si>
  <si>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</si>
  <si>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</si>
  <si>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</si>
  <si>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</si>
  <si>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</si>
  <si>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</si>
  <si>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</si>
  <si>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</si>
  <si>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</si>
  <si>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</si>
  <si>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</si>
  <si>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</si>
  <si>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</si>
  <si>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</si>
  <si>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</si>
  <si>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</si>
  <si>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</si>
  <si>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</si>
  <si>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</si>
  <si>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</si>
  <si>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</si>
  <si>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</si>
  <si>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</si>
  <si>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</si>
  <si>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</si>
  <si>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</si>
  <si>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</si>
  <si>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</si>
  <si>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</si>
  <si>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</si>
  <si>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</si>
  <si>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</si>
  <si>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</si>
  <si>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</si>
  <si>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</si>
  <si>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</si>
  <si>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</si>
  <si>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</si>
  <si>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</si>
  <si>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</si>
  <si>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</si>
  <si>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</si>
  <si>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</si>
  <si>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</si>
  <si>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</si>
  <si>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</si>
  <si>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</si>
  <si>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</si>
  <si>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</si>
  <si>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</si>
  <si>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</si>
  <si>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</si>
  <si>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</si>
  <si>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</si>
  <si>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</si>
  <si>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</si>
  <si>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</si>
  <si>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</si>
  <si>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</si>
  <si>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</si>
  <si>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</si>
  <si>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</si>
  <si>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</si>
  <si>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</si>
  <si>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</si>
  <si>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</si>
  <si>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</si>
  <si>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</si>
  <si>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</si>
  <si>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</si>
  <si>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</si>
  <si>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</si>
  <si>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</si>
  <si>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</si>
  <si>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</si>
  <si>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</si>
  <si>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</si>
  <si>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</si>
  <si>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</si>
  <si>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</si>
  <si>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</si>
  <si>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</si>
  <si>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</si>
  <si>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</si>
  <si>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</si>
  <si>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</si>
  <si>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</si>
  <si>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</si>
  <si>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</si>
  <si>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</si>
  <si>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</si>
  <si>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</si>
  <si>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</si>
  <si>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</si>
  <si>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</si>
  <si>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</si>
  <si>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</si>
  <si>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</si>
  <si>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</si>
  <si>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</si>
  <si>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</si>
  <si>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</si>
  <si>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</si>
  <si>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</si>
  <si>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</si>
  <si>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</si>
  <si>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</si>
  <si>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</si>
  <si>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</si>
  <si>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</si>
  <si>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</si>
  <si>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</si>
  <si>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</si>
  <si>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</si>
  <si>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</si>
  <si>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</si>
  <si>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</si>
  <si>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</si>
  <si>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</si>
  <si>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</si>
  <si>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</si>
  <si>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</si>
  <si>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</si>
  <si>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</si>
  <si>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</si>
  <si>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</si>
  <si>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</si>
  <si>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</si>
  <si>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</si>
  <si>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</si>
  <si>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</si>
  <si>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</si>
  <si>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</si>
  <si>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</si>
  <si>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</si>
  <si>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</si>
  <si>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</si>
  <si>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</si>
  <si>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</si>
  <si>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</si>
  <si>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</si>
  <si>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</si>
  <si>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</si>
  <si>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</si>
  <si>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</si>
  <si>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</si>
  <si>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</si>
  <si>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</si>
  <si>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</si>
  <si>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</si>
  <si>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</si>
  <si>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</si>
  <si>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</si>
  <si>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</si>
  <si>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</si>
  <si>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</si>
  <si>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</si>
  <si>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</si>
  <si>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</si>
  <si>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</si>
  <si>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</si>
  <si>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</si>
  <si>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</si>
  <si>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</si>
  <si>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</si>
  <si>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</si>
  <si>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</si>
  <si>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</si>
  <si>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</si>
  <si>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</si>
  <si>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</si>
  <si>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</si>
  <si>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</si>
  <si>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</si>
  <si>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</si>
  <si>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</si>
  <si>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</si>
  <si>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</si>
  <si>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</si>
  <si>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</si>
  <si>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</si>
  <si>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</si>
  <si>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</si>
  <si>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</si>
  <si>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</si>
  <si>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</si>
  <si>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</si>
  <si>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</si>
  <si>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</si>
  <si>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</si>
  <si>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</si>
  <si>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</si>
  <si>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</si>
  <si>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</si>
  <si>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</si>
  <si>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</si>
  <si>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</si>
  <si>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</si>
  <si>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</si>
  <si>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</si>
  <si>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</si>
  <si>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</si>
  <si>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</si>
  <si>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</si>
  <si>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</si>
  <si>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</si>
  <si>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</si>
  <si>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</si>
  <si>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</si>
  <si>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</si>
  <si>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</si>
  <si>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</si>
  <si>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</si>
  <si>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</si>
  <si>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</si>
  <si>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</si>
  <si>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</si>
  <si>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</si>
  <si>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</si>
  <si>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</si>
  <si>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</si>
  <si>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</si>
  <si>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</si>
  <si>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</si>
  <si>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</si>
  <si>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</si>
  <si>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</si>
  <si>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</si>
  <si>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</si>
  <si>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</si>
  <si>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</si>
  <si>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</si>
  <si>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</si>
  <si>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</si>
  <si>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</si>
  <si>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</si>
  <si>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</si>
  <si>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</si>
  <si>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</si>
  <si>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</si>
  <si>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</si>
  <si>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</si>
  <si>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</si>
  <si>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</si>
  <si>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</si>
  <si>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</si>
  <si>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</si>
  <si>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</si>
  <si>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</si>
  <si>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</si>
  <si>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</si>
  <si>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</si>
  <si>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</si>
  <si>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</si>
  <si>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</si>
  <si>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</si>
  <si>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</si>
  <si>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</si>
  <si>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</si>
  <si>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</si>
  <si>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</si>
  <si>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</si>
  <si>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</si>
  <si>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</si>
  <si>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</si>
  <si>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</si>
  <si>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</si>
  <si>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</si>
  <si>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</si>
  <si>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</si>
  <si>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</si>
  <si>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</si>
  <si>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</si>
  <si>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</si>
  <si>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</si>
  <si>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</si>
  <si>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</si>
  <si>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</si>
  <si>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</si>
  <si>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</si>
  <si>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</si>
  <si>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</si>
  <si>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</si>
  <si>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</si>
  <si>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</si>
  <si>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</si>
  <si>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</si>
  <si>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</si>
  <si>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</si>
  <si>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</si>
  <si>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</si>
  <si>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</si>
  <si>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</si>
  <si>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</si>
  <si>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</si>
  <si>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</si>
  <si>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</si>
  <si>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</si>
  <si>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</si>
  <si>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</si>
  <si>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</si>
  <si>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</si>
  <si>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</si>
  <si>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</si>
  <si>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</si>
  <si>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</si>
  <si>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</si>
  <si>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</si>
  <si>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</si>
  <si>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</si>
  <si>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</si>
  <si>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</si>
  <si>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</si>
  <si>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</si>
  <si>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</si>
  <si>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</si>
  <si>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</si>
  <si>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</si>
  <si>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</si>
  <si>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</si>
  <si>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</si>
  <si>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</si>
  <si>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</si>
  <si>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</si>
  <si>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</si>
  <si>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</si>
  <si>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</si>
  <si>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</si>
  <si>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</si>
  <si>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</si>
  <si>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</si>
  <si>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</si>
  <si>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</si>
  <si>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</si>
  <si>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</si>
  <si>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</si>
  <si>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</si>
  <si>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</si>
  <si>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</si>
  <si>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</si>
  <si>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</si>
  <si>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</si>
  <si>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</si>
  <si>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</si>
  <si>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</si>
  <si>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</si>
  <si>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</si>
  <si>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</si>
  <si>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</si>
  <si>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</si>
  <si>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</si>
  <si>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</si>
  <si>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</si>
  <si>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</si>
  <si>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</si>
  <si>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</si>
  <si>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</si>
  <si>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</si>
  <si>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</si>
  <si>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</si>
  <si>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</si>
  <si>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</si>
  <si>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</si>
  <si>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</si>
  <si>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</si>
  <si>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</si>
  <si>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</si>
  <si>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</si>
  <si>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</si>
  <si>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</si>
  <si>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</si>
  <si>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</si>
  <si>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</si>
  <si>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</si>
  <si>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</si>
  <si>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</si>
  <si>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</si>
  <si>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</si>
  <si>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</si>
  <si>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</si>
  <si>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</si>
  <si>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</si>
  <si>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</si>
  <si>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</si>
  <si>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</si>
  <si>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</si>
  <si>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</si>
  <si>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</si>
  <si>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</si>
  <si>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</si>
  <si>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</si>
  <si>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</si>
  <si>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</si>
  <si>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</si>
  <si>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</si>
  <si>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</si>
  <si>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</si>
  <si>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</si>
  <si>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</si>
  <si>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</si>
  <si>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</si>
  <si>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</si>
  <si>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</si>
  <si>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</si>
  <si>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</si>
  <si>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</si>
  <si>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</si>
  <si>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</si>
  <si>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</si>
  <si>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</si>
  <si>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</si>
  <si>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</si>
  <si>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</si>
  <si>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</si>
  <si>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</si>
  <si>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</si>
  <si>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</si>
  <si>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</si>
  <si>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</si>
  <si>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</si>
  <si>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</si>
  <si>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</si>
  <si>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</si>
  <si>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</si>
  <si>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</si>
  <si>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</si>
  <si>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</si>
  <si>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</si>
  <si>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</si>
  <si>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</si>
  <si>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</si>
  <si>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</si>
  <si>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</si>
  <si>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</si>
  <si>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</si>
  <si>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</si>
  <si>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</si>
  <si>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</si>
  <si>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</si>
  <si>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</si>
  <si>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</si>
  <si>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</si>
  <si>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</si>
  <si>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</si>
  <si>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</si>
  <si>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</si>
  <si>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</si>
  <si>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</si>
  <si>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</si>
  <si>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</si>
  <si>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</si>
  <si>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</si>
  <si>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</si>
  <si>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</si>
  <si>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</si>
  <si>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</si>
  <si>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</si>
  <si>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</si>
  <si>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</si>
  <si>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</si>
  <si>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</si>
  <si>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</si>
  <si>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</si>
  <si>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</si>
  <si>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</si>
  <si>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</si>
  <si>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</si>
  <si>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</si>
  <si>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</si>
  <si>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</si>
  <si>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</si>
  <si>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</si>
  <si>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</si>
  <si>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</si>
  <si>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</si>
  <si>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</si>
  <si>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</si>
  <si>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</si>
  <si>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</si>
  <si>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</si>
  <si>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</si>
  <si>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</si>
  <si>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</si>
  <si>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</si>
  <si>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</si>
  <si>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</si>
  <si>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</si>
  <si>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</si>
  <si>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</si>
  <si>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</si>
  <si>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</si>
  <si>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</si>
  <si>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</si>
  <si>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</si>
  <si>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</si>
  <si>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</si>
  <si>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</si>
  <si>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</si>
  <si>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</si>
  <si>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</si>
  <si>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</si>
  <si>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</si>
  <si>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</si>
  <si>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</si>
  <si>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</si>
  <si>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</si>
  <si>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</si>
  <si>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</si>
  <si>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</si>
  <si>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</si>
  <si>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</si>
  <si>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</si>
  <si>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</si>
  <si>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</si>
  <si>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</si>
  <si>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</si>
  <si>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</si>
  <si>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</si>
  <si>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</si>
  <si>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</si>
  <si>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</si>
  <si>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</si>
  <si>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</si>
  <si>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</si>
  <si>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</si>
  <si>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</si>
  <si>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</si>
  <si>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</si>
  <si>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</si>
  <si>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</si>
  <si>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</si>
  <si>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</si>
  <si>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</si>
  <si>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</si>
  <si>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</si>
  <si>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</si>
  <si>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</si>
  <si>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</si>
  <si>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</si>
  <si>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</si>
  <si>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</si>
  <si>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</si>
  <si>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</si>
  <si>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</si>
  <si>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</si>
  <si>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</si>
  <si>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</si>
  <si>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</si>
  <si>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</si>
  <si>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</si>
  <si>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</si>
  <si>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</si>
  <si>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</si>
  <si>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</si>
  <si>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</si>
  <si>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</si>
  <si>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</si>
  <si>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</si>
  <si>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</si>
  <si>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</si>
  <si>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</si>
  <si>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</si>
  <si>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</si>
  <si>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</si>
  <si>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</si>
  <si>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</si>
  <si>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</si>
  <si>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</si>
  <si>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</si>
  <si>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</si>
  <si>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</si>
  <si>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</si>
  <si>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</si>
  <si>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</si>
  <si>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</si>
  <si>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</si>
  <si>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</si>
  <si>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</si>
  <si>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</si>
  <si>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</si>
  <si>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</si>
  <si>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</si>
  <si>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</si>
  <si>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</si>
  <si>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</si>
  <si>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</si>
  <si>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</si>
  <si>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</si>
  <si>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</si>
  <si>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</si>
  <si>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</si>
  <si>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</si>
  <si>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</si>
  <si>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</si>
  <si>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</si>
  <si>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</si>
  <si>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</si>
  <si>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</si>
  <si>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</si>
  <si>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</si>
  <si>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</si>
  <si>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</si>
  <si>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</si>
  <si>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</si>
  <si>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</si>
  <si>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</si>
  <si>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</si>
  <si>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</si>
  <si>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</si>
  <si>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</si>
  <si>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</si>
  <si>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</si>
  <si>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</si>
  <si>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</si>
  <si>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</si>
  <si>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</si>
  <si>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</si>
  <si>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</si>
  <si>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</si>
  <si>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</si>
  <si>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</si>
  <si>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</si>
  <si>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</si>
  <si>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</si>
  <si>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</si>
  <si>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</si>
  <si>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</si>
  <si>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</si>
  <si>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</si>
  <si>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</si>
  <si>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</si>
  <si>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</si>
  <si>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</si>
  <si>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</si>
  <si>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</si>
  <si>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</si>
  <si>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</si>
  <si>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</si>
  <si>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</si>
  <si>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</si>
  <si>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</si>
  <si>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</si>
  <si>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</si>
  <si>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</si>
  <si>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</si>
  <si>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</si>
  <si>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</si>
  <si>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</si>
  <si>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</si>
  <si>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</si>
  <si>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</si>
  <si>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</si>
  <si>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</si>
  <si>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</si>
  <si>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</si>
  <si>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</si>
  <si>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</si>
  <si>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</si>
  <si>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</si>
  <si>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</si>
  <si>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</si>
  <si>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</si>
  <si>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</si>
  <si>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</si>
  <si>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</si>
  <si>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</si>
  <si>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</si>
  <si>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</si>
  <si>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</si>
  <si>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</si>
  <si>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</si>
  <si>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</si>
  <si>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</si>
  <si>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</si>
  <si>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</si>
  <si>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</si>
  <si>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</si>
  <si>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</si>
  <si>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</si>
  <si>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</si>
  <si>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</si>
  <si>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</si>
  <si>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</si>
  <si>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</si>
  <si>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</si>
  <si>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</si>
  <si>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</si>
  <si>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</si>
  <si>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</si>
  <si>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</si>
  <si>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</si>
  <si>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</si>
  <si>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</si>
  <si>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</si>
  <si>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</si>
  <si>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</si>
  <si>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</si>
  <si>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</si>
  <si>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</si>
  <si>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</si>
  <si>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</si>
  <si>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</si>
  <si>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</si>
  <si>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</si>
  <si>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</si>
  <si>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</si>
  <si>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</si>
  <si>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</si>
  <si>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</si>
  <si>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</si>
  <si>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</si>
  <si>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</si>
  <si>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</si>
  <si>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</si>
  <si>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</si>
  <si>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</si>
  <si>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</si>
  <si>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</si>
  <si>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</si>
  <si>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</si>
  <si>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</si>
  <si>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</si>
  <si>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</si>
  <si>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</si>
  <si>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</si>
  <si>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</si>
  <si>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</si>
  <si>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</si>
  <si>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</si>
  <si>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</si>
  <si>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</si>
  <si>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</si>
  <si>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</si>
  <si>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</si>
  <si>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</si>
  <si>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</si>
  <si>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</si>
  <si>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</si>
  <si>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</si>
  <si>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</si>
  <si>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</si>
  <si>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</si>
  <si>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</si>
  <si>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</si>
  <si>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</si>
  <si>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</si>
  <si>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</si>
  <si>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</si>
  <si>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</si>
  <si>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</si>
  <si>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</si>
  <si>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</si>
  <si>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</si>
  <si>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</si>
  <si>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</si>
  <si>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</si>
  <si>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</si>
  <si>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</si>
  <si>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</si>
  <si>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</si>
  <si>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</si>
  <si>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</si>
  <si>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</si>
  <si>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</si>
  <si>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</si>
  <si>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</si>
  <si>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</si>
  <si>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</si>
  <si>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</si>
  <si>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</si>
  <si>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</si>
  <si>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</si>
  <si>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</si>
  <si>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</si>
  <si>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</si>
  <si>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</si>
  <si>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</si>
  <si>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</si>
  <si>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</si>
  <si>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</si>
  <si>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</si>
  <si>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</si>
  <si>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</si>
  <si>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</si>
  <si>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</si>
  <si>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</si>
  <si>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</si>
  <si>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</si>
  <si>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</si>
  <si>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</si>
  <si>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</si>
  <si>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</si>
  <si>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</si>
  <si>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</si>
  <si>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</si>
  <si>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</si>
  <si>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</si>
  <si>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</si>
  <si>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</si>
  <si>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</si>
  <si>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</si>
  <si>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</si>
  <si>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</si>
  <si>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</si>
  <si>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</si>
  <si>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</si>
  <si>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</si>
  <si>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</si>
  <si>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</si>
  <si>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</si>
  <si>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</si>
  <si>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</si>
  <si>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</si>
  <si>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</si>
  <si>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</si>
  <si>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</si>
  <si>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</si>
  <si>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</si>
  <si>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</si>
  <si>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</si>
  <si>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</si>
  <si>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</si>
  <si>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</si>
  <si>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</si>
  <si>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</si>
  <si>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</si>
  <si>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</si>
  <si>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</si>
  <si>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</si>
  <si>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</si>
  <si>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</si>
  <si>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</si>
  <si>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</si>
  <si>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</si>
  <si>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</si>
  <si>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</si>
  <si>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</si>
  <si>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</si>
  <si>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</si>
  <si>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</si>
  <si>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</si>
  <si>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</si>
  <si>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</si>
  <si>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</si>
  <si>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</si>
  <si>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</si>
  <si>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</si>
  <si>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</si>
  <si>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</si>
  <si>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</si>
  <si>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</si>
  <si>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</si>
  <si>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</si>
  <si>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</si>
  <si>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</si>
  <si>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</si>
  <si>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</si>
  <si>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</si>
  <si>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</si>
  <si>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</si>
  <si>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</si>
  <si>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</si>
  <si>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</si>
  <si>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</si>
  <si>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</si>
  <si>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</si>
  <si>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</si>
  <si>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</si>
  <si>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</si>
  <si>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</si>
  <si>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</si>
  <si>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</si>
  <si>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</si>
  <si>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</si>
  <si>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</si>
  <si>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</si>
  <si>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</si>
  <si>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</si>
  <si>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</si>
  <si>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</si>
  <si>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</si>
  <si>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</si>
  <si>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</si>
  <si>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</si>
  <si>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</si>
  <si>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</si>
  <si>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</si>
  <si>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</si>
  <si>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</si>
  <si>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</si>
  <si>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</si>
  <si>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</si>
  <si>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</si>
  <si>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</si>
  <si>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</si>
  <si>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</si>
  <si>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</si>
  <si>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</si>
  <si>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</si>
  <si>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</si>
  <si>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</si>
  <si>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</si>
  <si>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</si>
  <si>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</si>
  <si>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</si>
  <si>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</si>
  <si>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</si>
  <si>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</si>
  <si>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</si>
  <si>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</si>
  <si>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</si>
  <si>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</si>
  <si>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</si>
  <si>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</si>
  <si>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</si>
  <si>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</si>
  <si>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</si>
  <si>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</si>
  <si>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</si>
  <si>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</si>
  <si>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</si>
  <si>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</si>
  <si>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</si>
  <si>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</si>
  <si>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</si>
  <si>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</si>
  <si>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</si>
  <si>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</si>
  <si>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</si>
  <si>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</si>
  <si>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</si>
  <si>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</si>
  <si>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</si>
  <si>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</si>
  <si>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</si>
  <si>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</si>
  <si>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</si>
  <si>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</si>
  <si>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</si>
  <si>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</si>
  <si>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</si>
  <si>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</si>
  <si>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</si>
  <si>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</si>
  <si>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</si>
  <si>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</si>
  <si>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</si>
  <si>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</si>
  <si>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</si>
  <si>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</si>
  <si>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</si>
  <si>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</si>
  <si>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</si>
  <si>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</si>
  <si>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</si>
  <si>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</si>
  <si>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</si>
  <si>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</si>
  <si>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</si>
  <si>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</si>
  <si>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</si>
  <si>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</si>
  <si>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</si>
  <si>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</si>
  <si>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</si>
  <si>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</si>
  <si>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</si>
  <si>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</si>
  <si>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</si>
  <si>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</si>
  <si>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</si>
  <si>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</si>
  <si>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</si>
  <si>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</si>
  <si>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</si>
  <si>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</si>
  <si>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</si>
  <si>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</si>
  <si>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</si>
  <si>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</si>
  <si>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</si>
  <si>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</si>
  <si>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</si>
  <si>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</si>
  <si>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</si>
  <si>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</si>
  <si>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</si>
  <si>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</si>
  <si>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</si>
  <si>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</si>
  <si>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</si>
  <si>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</si>
  <si>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</si>
  <si>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</si>
  <si>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</si>
  <si>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</si>
  <si>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</si>
  <si>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</si>
  <si>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</si>
  <si>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</si>
  <si>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</si>
  <si>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</si>
  <si>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</si>
  <si>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</si>
  <si>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</si>
  <si>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</si>
  <si>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</si>
  <si>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</si>
  <si>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</si>
  <si>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</si>
  <si>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</si>
  <si>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</si>
  <si>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</si>
  <si>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</si>
  <si>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</si>
  <si>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</si>
  <si>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</si>
  <si>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</si>
  <si>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</si>
  <si>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</si>
  <si>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</si>
  <si>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</si>
  <si>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</si>
  <si>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</si>
  <si>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</si>
  <si>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</si>
  <si>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</si>
  <si>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</si>
  <si>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</si>
  <si>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</si>
  <si>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</si>
  <si>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</si>
  <si>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</si>
  <si>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</si>
  <si>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</si>
  <si>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</si>
  <si>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</si>
  <si>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</si>
  <si>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</si>
  <si>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</si>
  <si>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</si>
  <si>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</si>
  <si>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</si>
  <si>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</si>
  <si>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</si>
  <si>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</si>
  <si>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</si>
  <si>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</si>
  <si>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</si>
  <si>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</si>
  <si>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</si>
  <si>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</si>
  <si>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</si>
  <si>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</si>
  <si>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</si>
  <si>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</si>
  <si>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</si>
  <si>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</si>
  <si>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</si>
  <si>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</si>
  <si>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</si>
  <si>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</si>
  <si>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</si>
  <si>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</si>
  <si>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</si>
  <si>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</si>
  <si>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</si>
  <si>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</si>
  <si>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</si>
  <si>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</si>
  <si>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</si>
  <si>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</si>
  <si>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</si>
  <si>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</si>
  <si>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</si>
  <si>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</si>
  <si>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</si>
  <si>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</si>
  <si>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</si>
  <si>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</si>
  <si>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</si>
  <si>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</si>
  <si>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</si>
  <si>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</si>
  <si>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</si>
  <si>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</si>
  <si>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</si>
  <si>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</si>
  <si>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</si>
  <si>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</si>
  <si>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</si>
  <si>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</si>
  <si>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</si>
  <si>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</si>
  <si>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</si>
  <si>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</si>
  <si>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</si>
  <si>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</si>
  <si>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</si>
  <si>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</si>
  <si>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</si>
  <si>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</si>
  <si>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</si>
  <si>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</si>
  <si>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</si>
  <si>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</si>
  <si>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</si>
  <si>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</si>
  <si>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</si>
  <si>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</si>
  <si>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</si>
  <si>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</si>
  <si>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</si>
  <si>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</si>
  <si>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</si>
  <si>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</si>
  <si>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</si>
  <si>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</si>
  <si>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</si>
  <si>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</si>
  <si>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</si>
  <si>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</si>
  <si>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</si>
  <si>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</si>
  <si>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</si>
  <si>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</si>
  <si>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</si>
  <si>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</si>
  <si>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</si>
  <si>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</si>
  <si>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</si>
  <si>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</si>
  <si>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</si>
  <si>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</si>
  <si>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</si>
  <si>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</si>
  <si>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</si>
  <si>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</si>
  <si>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</si>
  <si>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</si>
  <si>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</si>
  <si>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</si>
  <si>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</si>
  <si>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</si>
  <si>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</si>
  <si>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</si>
  <si>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</si>
  <si>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</si>
  <si>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</si>
  <si>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</si>
  <si>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</si>
  <si>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</si>
  <si>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</si>
  <si>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</si>
  <si>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</si>
  <si>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</si>
  <si>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</si>
  <si>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</si>
  <si>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</si>
  <si>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</si>
  <si>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</si>
  <si>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</si>
  <si>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</si>
  <si>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</si>
  <si>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</si>
  <si>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</si>
  <si>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</si>
  <si>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</si>
  <si>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</si>
  <si>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</si>
  <si>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</si>
  <si>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</si>
  <si>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</si>
  <si>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</si>
  <si>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</si>
  <si>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</si>
  <si>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</si>
  <si>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</si>
  <si>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</si>
  <si>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</si>
  <si>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</si>
  <si>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</si>
  <si>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</si>
  <si>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</si>
  <si>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</si>
  <si>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</si>
  <si>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</si>
  <si>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</si>
  <si>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</si>
  <si>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</si>
  <si>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</si>
  <si>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</si>
  <si>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</si>
  <si>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</si>
  <si>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</si>
  <si>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</si>
  <si>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</si>
  <si>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</si>
  <si>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</si>
  <si>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</si>
  <si>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</si>
  <si>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</si>
  <si>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</si>
  <si>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</si>
  <si>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</si>
  <si>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</si>
  <si>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</si>
  <si>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</si>
  <si>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</si>
  <si>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</si>
  <si>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</si>
  <si>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</si>
  <si>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</si>
  <si>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</si>
  <si>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</si>
  <si>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</si>
  <si>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</si>
  <si>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</si>
  <si>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</si>
  <si>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</si>
  <si>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</si>
  <si>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</si>
  <si>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</si>
  <si>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</si>
  <si>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</si>
  <si>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</si>
  <si>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</si>
  <si>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</si>
  <si>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</si>
  <si>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</si>
  <si>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</si>
  <si>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</si>
  <si>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</si>
  <si>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</si>
  <si>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</si>
  <si>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</si>
  <si>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</si>
  <si>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</si>
  <si>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</si>
  <si>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</si>
  <si>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</si>
  <si>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</si>
  <si>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</si>
  <si>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</si>
  <si>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</si>
  <si>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</si>
  <si>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</si>
  <si>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</si>
  <si>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</si>
  <si>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</si>
  <si>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</si>
  <si>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</si>
  <si>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</si>
  <si>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</si>
  <si>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</si>
  <si>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</si>
  <si>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</si>
  <si>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</si>
  <si>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</si>
  <si>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</si>
  <si>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</si>
  <si>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</si>
  <si>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</si>
  <si>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</si>
  <si>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</si>
  <si>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</si>
  <si>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</si>
  <si>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</si>
  <si>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</si>
  <si>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</si>
  <si>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</si>
  <si>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</si>
  <si>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</si>
  <si>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</si>
  <si>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</si>
  <si>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</si>
  <si>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</si>
  <si>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</si>
  <si>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</si>
  <si>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</si>
  <si>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</si>
  <si>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</si>
  <si>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</si>
  <si>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</si>
  <si>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</si>
  <si>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</si>
  <si>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</si>
  <si>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</si>
  <si>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</si>
  <si>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</si>
  <si>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</si>
  <si>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</si>
  <si>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</si>
  <si>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</si>
  <si>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</si>
  <si>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</si>
  <si>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</si>
  <si>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</si>
  <si>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</si>
  <si>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</si>
  <si>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</si>
  <si>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</si>
  <si>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</si>
  <si>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</si>
  <si>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</si>
  <si>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</si>
  <si>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</si>
  <si>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</si>
  <si>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</si>
  <si>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</si>
  <si>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</si>
  <si>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</si>
  <si>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</si>
  <si>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</si>
  <si>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</si>
  <si>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</si>
  <si>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</si>
  <si>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</si>
  <si>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</si>
  <si>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</si>
  <si>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</si>
  <si>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</si>
  <si>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</si>
  <si>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</si>
  <si>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</si>
  <si>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</si>
  <si>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</si>
  <si>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</si>
  <si>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</si>
  <si>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</si>
  <si>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</si>
  <si>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</si>
  <si>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</si>
  <si>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</si>
  <si>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</si>
  <si>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</si>
  <si>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</si>
  <si>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</si>
  <si>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</si>
  <si>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</si>
  <si>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</si>
  <si>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</si>
  <si>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</si>
  <si>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</si>
  <si>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</si>
  <si>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</si>
  <si>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</si>
  <si>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</si>
  <si>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</si>
  <si>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</si>
  <si>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</si>
  <si>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</si>
  <si>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</si>
  <si>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</si>
  <si>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</si>
  <si>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</si>
  <si>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</si>
  <si>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</si>
  <si>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</si>
  <si>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</si>
  <si>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</si>
  <si>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</si>
  <si>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</si>
  <si>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</si>
  <si>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</si>
  <si>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</si>
  <si>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</si>
  <si>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</si>
  <si>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</si>
  <si>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</si>
  <si>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</si>
  <si>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</si>
  <si>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</si>
  <si>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</si>
  <si>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</si>
  <si>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</si>
  <si>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</si>
  <si>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</si>
  <si>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</si>
  <si>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</si>
  <si>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</si>
  <si>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</si>
  <si>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</si>
  <si>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</si>
  <si>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</si>
  <si>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</si>
  <si>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</si>
  <si>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</si>
  <si>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</si>
  <si>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</si>
  <si>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</si>
  <si>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</si>
  <si>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</si>
  <si>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</si>
  <si>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</si>
  <si>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</si>
  <si>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</si>
  <si>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</si>
  <si>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</si>
  <si>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</si>
  <si>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</si>
  <si>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</si>
  <si>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</si>
  <si>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</si>
  <si>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</si>
  <si>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</si>
  <si>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</si>
  <si>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</si>
  <si>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</si>
  <si>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</si>
  <si>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</si>
  <si>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</si>
  <si>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</si>
  <si>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</si>
  <si>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</si>
  <si>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</si>
  <si>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</si>
  <si>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</si>
  <si>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</si>
  <si>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</si>
  <si>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</si>
  <si>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</si>
  <si>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</si>
  <si>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</si>
  <si>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</si>
  <si>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</si>
  <si>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</si>
  <si>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</si>
  <si>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</si>
  <si>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</si>
  <si>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</si>
  <si>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</si>
  <si>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</si>
  <si>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</si>
  <si>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</si>
  <si>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</si>
  <si>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</si>
  <si>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</si>
  <si>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</si>
  <si>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</si>
  <si>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</si>
  <si>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</si>
  <si>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</si>
  <si>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</si>
  <si>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</si>
  <si>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</si>
  <si>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</si>
  <si>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</si>
  <si>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</si>
  <si>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</si>
  <si>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</si>
  <si>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</si>
  <si>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</si>
  <si>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</si>
  <si>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</si>
  <si>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</si>
  <si>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</si>
  <si>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</si>
  <si>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</si>
  <si>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</si>
  <si>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</si>
  <si>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</si>
  <si>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</si>
  <si>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</si>
  <si>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</si>
  <si>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</si>
  <si>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</si>
  <si>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</si>
  <si>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</si>
  <si>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</si>
  <si>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</si>
  <si>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</si>
  <si>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</si>
  <si>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</si>
  <si>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</si>
  <si>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</si>
  <si>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</si>
  <si>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</si>
  <si>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</si>
  <si>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</si>
  <si>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</si>
  <si>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</si>
  <si>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</si>
  <si>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</si>
  <si>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</si>
  <si>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</si>
  <si>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</si>
  <si>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</si>
  <si>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</si>
  <si>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</si>
  <si>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</si>
  <si>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</si>
  <si>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</si>
  <si>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</si>
  <si>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</si>
  <si>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</si>
  <si>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</si>
  <si>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</si>
  <si>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</si>
  <si>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</si>
  <si>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</si>
  <si>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</si>
  <si>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</si>
  <si>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</si>
  <si>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</si>
  <si>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</si>
  <si>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</si>
  <si>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</si>
  <si>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</si>
  <si>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</si>
  <si>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</si>
  <si>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</si>
  <si>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</si>
  <si>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</si>
  <si>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</si>
  <si>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</si>
  <si>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</si>
  <si>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</si>
  <si>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</si>
  <si>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</si>
  <si>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</si>
  <si>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</si>
  <si>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</si>
  <si>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</si>
  <si>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</si>
  <si>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</si>
  <si>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</si>
  <si>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</si>
  <si>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</si>
  <si>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</si>
  <si>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</si>
  <si>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</si>
  <si>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</si>
  <si>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</si>
  <si>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</si>
  <si>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</si>
  <si>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</si>
  <si>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</si>
  <si>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</si>
  <si>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</si>
  <si>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</si>
  <si>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</si>
  <si>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</si>
  <si>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</si>
  <si>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</si>
  <si>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</si>
  <si>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</si>
  <si>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</si>
  <si>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</si>
  <si>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</si>
  <si>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</si>
  <si>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</si>
  <si>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</si>
  <si>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</si>
  <si>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</si>
  <si>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</si>
  <si>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</si>
  <si>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</si>
  <si>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</si>
  <si>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</si>
  <si>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</si>
  <si>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</si>
  <si>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</si>
  <si>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</si>
  <si>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</si>
  <si>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</si>
  <si>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</si>
  <si>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</si>
  <si>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</si>
  <si>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</si>
  <si>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</si>
  <si>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</si>
  <si>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</si>
  <si>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</si>
  <si>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</si>
  <si>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</si>
  <si>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</si>
  <si>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</si>
  <si>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</si>
  <si>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</si>
  <si>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</si>
  <si>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</si>
  <si>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</si>
  <si>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</si>
  <si>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</si>
  <si>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</si>
  <si>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</si>
  <si>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</si>
  <si>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</si>
  <si>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</si>
  <si>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</si>
  <si>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</si>
  <si>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</si>
  <si>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</si>
  <si>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</si>
  <si>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</si>
  <si>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</si>
  <si>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</si>
  <si>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</si>
  <si>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</si>
  <si>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</si>
  <si>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</si>
  <si>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</si>
  <si>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</si>
  <si>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</si>
  <si>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</si>
  <si>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</si>
  <si>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</si>
  <si>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</si>
  <si>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</si>
  <si>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</si>
  <si>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</si>
  <si>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</si>
  <si>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</si>
  <si>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</si>
  <si>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</si>
  <si>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</si>
  <si>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</si>
  <si>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</si>
  <si>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</si>
  <si>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</si>
  <si>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</si>
  <si>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</si>
  <si>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</si>
  <si>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</si>
  <si>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</si>
  <si>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</si>
  <si>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</si>
  <si>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</si>
  <si>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</si>
  <si>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</si>
  <si>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</si>
  <si>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</si>
  <si>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</si>
  <si>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</si>
  <si>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</si>
  <si>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</si>
  <si>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</si>
  <si>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</si>
  <si>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</si>
  <si>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</si>
  <si>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</si>
  <si>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</si>
  <si>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</si>
  <si>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</si>
  <si>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</si>
  <si>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</si>
  <si>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</si>
  <si>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</si>
  <si>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</si>
  <si>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</si>
  <si>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</si>
  <si>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</si>
  <si>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</si>
  <si>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</si>
  <si>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</si>
  <si>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</si>
  <si>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</si>
  <si>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</si>
  <si>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</si>
  <si>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</si>
  <si>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</si>
  <si>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</si>
  <si>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</si>
  <si>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</si>
  <si>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</si>
  <si>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</si>
  <si>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</si>
  <si>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</si>
  <si>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</si>
  <si>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</si>
  <si>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</si>
  <si>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</si>
  <si>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</si>
  <si>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</si>
  <si>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</si>
  <si>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</si>
  <si>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</si>
  <si>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</si>
  <si>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</si>
  <si>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</si>
  <si>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</si>
  <si>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</si>
  <si>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</si>
  <si>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</si>
  <si>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</si>
  <si>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</si>
  <si>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</si>
  <si>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</si>
  <si>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</si>
  <si>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</si>
  <si>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</si>
  <si>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</si>
  <si>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</si>
  <si>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</si>
  <si>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</si>
  <si>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</si>
  <si>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</si>
  <si>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</si>
  <si>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</si>
  <si>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</si>
  <si>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</si>
  <si>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</si>
  <si>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</si>
  <si>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</si>
  <si>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</si>
  <si>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</si>
  <si>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</si>
  <si>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</si>
  <si>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</si>
  <si>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</si>
  <si>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</si>
  <si>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</si>
  <si>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</si>
  <si>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</si>
  <si>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</si>
  <si>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</si>
  <si>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</si>
  <si>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</si>
  <si>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</si>
  <si>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</si>
  <si>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</si>
  <si>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</si>
  <si>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</si>
  <si>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</si>
  <si>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</si>
  <si>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</si>
  <si>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</si>
  <si>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</si>
  <si>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</si>
  <si>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</si>
  <si>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</si>
  <si>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</si>
  <si>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</si>
  <si>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</si>
  <si>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</si>
  <si>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</si>
  <si>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</si>
  <si>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</si>
  <si>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</si>
  <si>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</si>
  <si>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</si>
  <si>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</si>
  <si>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</si>
  <si>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</si>
  <si>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</si>
  <si>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</si>
  <si>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</si>
  <si>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</si>
  <si>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</si>
  <si>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</si>
  <si>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</si>
  <si>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</si>
  <si>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</si>
  <si>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</si>
  <si>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</si>
  <si>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</si>
  <si>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</si>
  <si>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</si>
  <si>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</si>
  <si>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</si>
  <si>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</si>
  <si>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</si>
  <si>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</si>
  <si>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</si>
  <si>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</si>
  <si>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</si>
  <si>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</si>
  <si>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</si>
  <si>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</si>
  <si>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</si>
  <si>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</si>
  <si>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</si>
  <si>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</si>
  <si>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</si>
  <si>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</si>
  <si>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</si>
  <si>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</si>
  <si>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</si>
  <si>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</si>
  <si>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</si>
  <si>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</si>
  <si>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</si>
  <si>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</si>
  <si>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</si>
  <si>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</si>
  <si>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</si>
  <si>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</si>
  <si>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</si>
  <si>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</si>
  <si>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</si>
  <si>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</si>
  <si>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</si>
  <si>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</si>
  <si>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</si>
  <si>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</si>
  <si>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</si>
  <si>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</si>
  <si>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</si>
  <si>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</si>
  <si>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</si>
  <si>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</si>
  <si>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</si>
  <si>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</si>
  <si>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</si>
  <si>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</si>
  <si>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</si>
  <si>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</si>
  <si>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</si>
  <si>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</si>
  <si>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</si>
  <si>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</si>
  <si>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</si>
  <si>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</si>
  <si>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</si>
  <si>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</si>
  <si>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</si>
  <si>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</si>
  <si>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</si>
  <si>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</si>
  <si>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</si>
  <si>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</si>
  <si>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</si>
  <si>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</si>
  <si>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</si>
  <si>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</si>
  <si>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</si>
  <si>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</si>
  <si>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</si>
  <si>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</si>
  <si>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</si>
  <si>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</si>
  <si>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</si>
  <si>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</si>
  <si>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</si>
  <si>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</si>
  <si>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</si>
  <si>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</si>
  <si>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</si>
  <si>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</si>
  <si>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</si>
  <si>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</si>
  <si>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</si>
  <si>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</si>
  <si>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</si>
  <si>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</si>
  <si>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</si>
  <si>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</si>
  <si>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</si>
  <si>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</si>
  <si>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</si>
  <si>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</si>
  <si>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</si>
  <si>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</si>
  <si>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</si>
  <si>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</si>
  <si>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</si>
  <si>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</si>
  <si>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</si>
  <si>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</si>
  <si>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</si>
  <si>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</si>
  <si>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</si>
  <si>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</si>
  <si>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</si>
  <si>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</si>
  <si>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</si>
  <si>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</si>
  <si>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</si>
  <si>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</si>
  <si>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</si>
  <si>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</si>
  <si>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</si>
  <si>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</si>
  <si>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</si>
  <si>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</si>
  <si>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</si>
  <si>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</si>
  <si>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</si>
  <si>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</si>
  <si>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</si>
  <si>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</si>
  <si>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</si>
  <si>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</si>
  <si>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</si>
  <si>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</si>
  <si>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</si>
  <si>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</si>
  <si>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</si>
  <si>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</si>
  <si>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</si>
  <si>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</si>
  <si>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</si>
  <si>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</si>
  <si>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</si>
  <si>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</si>
  <si>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</si>
  <si>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</si>
  <si>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</si>
  <si>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</si>
  <si>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</si>
  <si>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</si>
  <si>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</si>
  <si>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</si>
  <si>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</si>
  <si>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</si>
  <si>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</si>
  <si>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</si>
  <si>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</si>
  <si>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</si>
  <si>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</si>
  <si>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</si>
  <si>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</si>
  <si>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</si>
  <si>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</si>
  <si>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</si>
  <si>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</si>
  <si>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</si>
  <si>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</si>
  <si>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</si>
  <si>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</si>
  <si>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</si>
  <si>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</si>
  <si>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</si>
  <si>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</si>
  <si>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</si>
  <si>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</si>
  <si>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</si>
  <si>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</si>
  <si>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</si>
  <si>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</si>
  <si>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</si>
  <si>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</si>
  <si>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</si>
  <si>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</si>
  <si>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</si>
  <si>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</si>
  <si>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</si>
  <si>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</si>
  <si>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</si>
  <si>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</si>
  <si>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</si>
  <si>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</si>
  <si>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</si>
  <si>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</si>
  <si>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</si>
  <si>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</si>
  <si>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</si>
  <si>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</si>
  <si>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</si>
  <si>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</si>
  <si>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</si>
  <si>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</si>
  <si>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</si>
  <si>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</si>
  <si>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</si>
  <si>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</si>
  <si>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</si>
  <si>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</si>
  <si>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</si>
  <si>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</si>
  <si>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</si>
  <si>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</si>
  <si>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</si>
  <si>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</si>
  <si>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</si>
  <si>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</si>
  <si>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</si>
  <si>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</si>
  <si>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</si>
  <si>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</si>
  <si>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</si>
  <si>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</si>
  <si>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</si>
  <si>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</si>
  <si>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</si>
  <si>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</si>
  <si>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</si>
  <si>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</si>
  <si>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</si>
  <si>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</si>
  <si>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</si>
  <si>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</si>
  <si>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</si>
  <si>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</si>
  <si>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</si>
  <si>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</si>
  <si>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</si>
  <si>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</si>
  <si>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</si>
  <si>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</si>
  <si>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</si>
  <si>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</si>
  <si>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</si>
  <si>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</si>
  <si>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</si>
  <si>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</si>
  <si>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</si>
  <si>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</si>
  <si>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</si>
  <si>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</si>
  <si>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</si>
  <si>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</si>
  <si>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</si>
  <si>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</si>
  <si>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</si>
  <si>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</si>
  <si>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</si>
  <si>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</si>
  <si>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</si>
  <si>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</si>
  <si>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</si>
  <si>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</si>
  <si>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</si>
  <si>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</si>
  <si>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</si>
  <si>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</si>
  <si>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</si>
  <si>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</si>
  <si>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</si>
  <si>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</si>
  <si>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</si>
  <si>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</si>
  <si>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</si>
  <si>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</si>
  <si>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</si>
  <si>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</si>
  <si>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</si>
  <si>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</si>
  <si>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</si>
  <si>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</si>
  <si>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</si>
  <si>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</si>
  <si>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</si>
  <si>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</si>
  <si>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</si>
  <si>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</si>
  <si>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</si>
  <si>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</si>
  <si>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</si>
  <si>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</si>
  <si>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</si>
  <si>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</si>
  <si>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</si>
  <si>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</si>
  <si>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</si>
  <si>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</si>
  <si>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</si>
  <si>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</si>
  <si>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</si>
  <si>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</si>
  <si>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</si>
  <si>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</si>
  <si>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</si>
  <si>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</si>
  <si>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</si>
  <si>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</si>
  <si>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</si>
  <si>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</si>
  <si>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</si>
  <si>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</si>
  <si>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</si>
  <si>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</si>
  <si>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</si>
  <si>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</si>
  <si>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</si>
  <si>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</si>
  <si>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</si>
  <si>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</si>
  <si>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</si>
  <si>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</si>
  <si>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</si>
  <si>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</si>
  <si>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</si>
  <si>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</si>
  <si>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</si>
  <si>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</si>
  <si>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</si>
  <si>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</si>
  <si>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</si>
  <si>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</si>
  <si>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</si>
  <si>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</si>
  <si>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</si>
  <si>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</si>
  <si>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</si>
  <si>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</si>
  <si>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</si>
  <si>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</si>
  <si>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</si>
  <si>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</si>
  <si>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</si>
  <si>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</si>
  <si>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</si>
  <si>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</si>
  <si>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</si>
  <si>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</si>
  <si>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</si>
  <si>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</si>
  <si>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</si>
  <si>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</si>
  <si>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</si>
  <si>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</si>
  <si>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</si>
  <si>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</si>
  <si>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</si>
  <si>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</si>
  <si>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</si>
  <si>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</si>
  <si>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</si>
  <si>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</si>
  <si>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</si>
  <si>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</si>
  <si>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</si>
  <si>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</si>
  <si>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</si>
  <si>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</si>
  <si>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</si>
  <si>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</si>
  <si>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</si>
  <si>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</si>
  <si>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</si>
  <si>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</si>
  <si>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</si>
  <si>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</si>
  <si>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</si>
  <si>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</si>
  <si>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</si>
  <si>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</si>
  <si>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</si>
  <si>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</si>
  <si>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</si>
  <si>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</si>
  <si>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</si>
  <si>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</si>
  <si>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</si>
  <si>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</si>
  <si>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</si>
  <si>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</si>
  <si>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</si>
  <si>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</si>
  <si>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</si>
  <si>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</si>
  <si>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</si>
  <si>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</si>
  <si>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</si>
  <si>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</si>
  <si>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</si>
  <si>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</si>
  <si>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</si>
  <si>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</si>
  <si>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</si>
  <si>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</si>
  <si>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</si>
  <si>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</si>
  <si>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</si>
  <si>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</si>
  <si>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</si>
  <si>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</si>
  <si>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</si>
  <si>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</si>
  <si>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</si>
  <si>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</si>
  <si>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</si>
  <si>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</si>
  <si>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</si>
  <si>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</si>
  <si>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</si>
  <si>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</si>
  <si>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</si>
  <si>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</si>
  <si>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</si>
  <si>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</si>
  <si>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</si>
  <si>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</si>
  <si>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</si>
  <si>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</si>
  <si>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</si>
  <si>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</si>
  <si>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</si>
  <si>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</si>
  <si>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</si>
  <si>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</si>
  <si>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</si>
  <si>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</si>
  <si>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</si>
  <si>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</si>
  <si>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</si>
  <si>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</si>
  <si>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</si>
  <si>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</si>
  <si>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</si>
  <si>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</si>
  <si>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</si>
  <si>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</si>
  <si>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</si>
  <si>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</si>
  <si>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</si>
  <si>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</si>
  <si>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</si>
  <si>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</si>
  <si>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</si>
  <si>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</si>
  <si>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</si>
  <si>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</si>
  <si>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</si>
  <si>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</si>
  <si>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</si>
  <si>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</si>
  <si>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</si>
  <si>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</si>
  <si>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</si>
  <si>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</si>
  <si>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</si>
  <si>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</si>
  <si>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</si>
  <si>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</si>
  <si>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</si>
  <si>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</si>
  <si>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</si>
  <si>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</si>
  <si>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</si>
  <si>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</si>
  <si>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</si>
  <si>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</si>
  <si>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</si>
  <si>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</si>
  <si>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</si>
  <si>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</si>
  <si>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</si>
  <si>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</si>
  <si>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</si>
  <si>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</si>
  <si>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</si>
  <si>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</si>
  <si>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</si>
  <si>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</si>
  <si>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</si>
  <si>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</si>
  <si>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</si>
  <si>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</si>
  <si>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</si>
  <si>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</si>
  <si>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</si>
  <si>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</si>
  <si>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</si>
  <si>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</si>
  <si>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</si>
  <si>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</si>
  <si>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</si>
  <si>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</si>
  <si>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</si>
  <si>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</si>
  <si>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</si>
  <si>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</si>
  <si>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</si>
  <si>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</si>
  <si>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</si>
  <si>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</si>
  <si>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</si>
  <si>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</si>
  <si>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</si>
  <si>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</si>
  <si>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</si>
  <si>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</si>
  <si>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</si>
  <si>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</si>
  <si>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</si>
  <si>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</si>
  <si>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</si>
  <si>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</si>
  <si>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</si>
  <si>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</si>
  <si>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</si>
  <si>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</si>
  <si>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</si>
  <si>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</si>
  <si>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</si>
  <si>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</si>
  <si>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</si>
  <si>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</si>
  <si>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</si>
  <si>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</si>
  <si>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</si>
  <si>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</si>
  <si>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</si>
  <si>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</si>
  <si>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</si>
  <si>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</si>
  <si>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</si>
  <si>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</si>
  <si>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</si>
  <si>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</si>
  <si>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</si>
  <si>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</si>
  <si>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</si>
  <si>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</si>
  <si>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</si>
  <si>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</si>
  <si>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</si>
  <si>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</si>
  <si>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</si>
  <si>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</si>
  <si>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</si>
  <si>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</si>
  <si>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</si>
  <si>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</si>
  <si>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</si>
  <si>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</si>
  <si>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</si>
  <si>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</si>
  <si>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</si>
  <si>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</si>
  <si>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</si>
  <si>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</si>
  <si>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</si>
  <si>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</si>
  <si>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</si>
  <si>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</si>
  <si>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</si>
  <si>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</si>
  <si>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</si>
  <si>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</si>
  <si>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</si>
  <si>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</si>
  <si>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</si>
  <si>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</si>
  <si>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</si>
  <si>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</si>
  <si>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</si>
  <si>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</si>
  <si>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</si>
  <si>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</si>
  <si>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</si>
  <si>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</si>
  <si>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</si>
  <si>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</si>
  <si>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</si>
  <si>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</si>
  <si>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</si>
  <si>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</si>
  <si>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</si>
  <si>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</si>
  <si>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</si>
  <si>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</si>
  <si>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</si>
  <si>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</si>
  <si>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</si>
  <si>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</si>
  <si>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</si>
  <si>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</si>
  <si>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</si>
  <si>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</si>
  <si>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</si>
  <si>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</si>
  <si>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</si>
  <si>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</si>
  <si>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</si>
  <si>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</si>
  <si>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</si>
  <si>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</si>
  <si>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</si>
  <si>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</si>
  <si>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</si>
  <si>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</si>
  <si>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</si>
  <si>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</si>
  <si>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</si>
  <si>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</si>
  <si>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</si>
  <si>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</si>
  <si>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</si>
  <si>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</si>
  <si>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</si>
  <si>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</si>
  <si>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</si>
  <si>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</si>
  <si>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</si>
  <si>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</si>
  <si>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</si>
  <si>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</si>
  <si>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</si>
  <si>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</si>
  <si>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</si>
  <si>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</si>
  <si>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</si>
  <si>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</si>
  <si>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</si>
  <si>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</si>
  <si>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</si>
  <si>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</si>
  <si>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</si>
  <si>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</si>
  <si>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</si>
  <si>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</si>
  <si>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</si>
  <si>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</si>
  <si>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</si>
  <si>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</si>
  <si>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</si>
  <si>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</si>
  <si>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</si>
  <si>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</si>
  <si>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</si>
  <si>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</si>
  <si>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</si>
  <si>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</si>
  <si>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</si>
  <si>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</si>
  <si>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</si>
  <si>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</si>
  <si>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</si>
  <si>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</si>
  <si>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</si>
  <si>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</si>
  <si>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</si>
  <si>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</si>
  <si>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</si>
  <si>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</si>
  <si>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</si>
  <si>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</si>
  <si>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</si>
  <si>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</si>
  <si>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</si>
  <si>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</si>
  <si>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</si>
  <si>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</si>
  <si>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</si>
  <si>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</si>
  <si>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</si>
  <si>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</si>
  <si>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</si>
  <si>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</si>
  <si>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</si>
  <si>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</si>
  <si>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</si>
  <si>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</si>
  <si>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</si>
  <si>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</si>
  <si>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</si>
  <si>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</si>
  <si>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</si>
  <si>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</si>
  <si>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</si>
  <si>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</si>
  <si>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</si>
  <si>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</si>
  <si>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</si>
  <si>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</si>
  <si>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</si>
  <si>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</si>
  <si>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</si>
  <si>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</si>
  <si>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</si>
  <si>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</si>
  <si>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</si>
  <si>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</si>
  <si>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</si>
  <si>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</si>
  <si>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</si>
  <si>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</si>
  <si>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</si>
  <si>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</si>
  <si>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</si>
  <si>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</si>
  <si>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</si>
  <si>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</si>
  <si>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</si>
  <si>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</si>
  <si>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</si>
  <si>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</si>
  <si>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</si>
  <si>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</si>
  <si>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</si>
  <si>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</si>
  <si>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</si>
  <si>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</si>
  <si>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</si>
  <si>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</si>
  <si>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</si>
  <si>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</si>
  <si>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</si>
  <si>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</si>
  <si>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</si>
  <si>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</si>
  <si>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</si>
  <si>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</si>
  <si>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</si>
  <si>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</si>
  <si>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</si>
  <si>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</si>
  <si>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</si>
  <si>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</si>
  <si>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</si>
  <si>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</si>
  <si>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</si>
  <si>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</si>
  <si>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</si>
  <si>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</si>
  <si>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</si>
  <si>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</si>
  <si>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</si>
  <si>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</si>
  <si>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</si>
  <si>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</si>
  <si>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</si>
  <si>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</si>
  <si>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</si>
  <si>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</si>
  <si>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</si>
  <si>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</si>
  <si>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</si>
  <si>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</si>
  <si>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</si>
  <si>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</si>
  <si>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</si>
  <si>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</si>
  <si>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</si>
  <si>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</si>
  <si>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</si>
  <si>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</si>
  <si>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</si>
  <si>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</si>
  <si>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</si>
  <si>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</si>
  <si>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</si>
  <si>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</si>
  <si>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</si>
  <si>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</si>
  <si>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</si>
  <si>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</si>
  <si>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</si>
  <si>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</si>
  <si>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</si>
  <si>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</si>
  <si>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</si>
  <si>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</si>
  <si>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</si>
  <si>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</si>
  <si>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</si>
  <si>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</si>
  <si>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</si>
  <si>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</si>
  <si>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</si>
  <si>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</si>
  <si>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</si>
  <si>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</si>
  <si>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</si>
  <si>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</si>
  <si>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</si>
  <si>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</si>
  <si>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</si>
  <si>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</si>
  <si>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</si>
  <si>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</si>
  <si>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</si>
  <si>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</si>
  <si>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</si>
  <si>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</si>
  <si>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</si>
  <si>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</si>
  <si>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</si>
  <si>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</si>
  <si>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</si>
  <si>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</si>
  <si>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</si>
  <si>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</si>
  <si>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</si>
  <si>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</si>
  <si>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</si>
  <si>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</si>
  <si>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</si>
  <si>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</si>
  <si>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</si>
  <si>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</si>
  <si>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</si>
  <si>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</si>
  <si>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</si>
  <si>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</si>
  <si>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</si>
  <si>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</si>
  <si>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</si>
  <si>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</si>
  <si>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</si>
  <si>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</si>
  <si>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</si>
  <si>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</si>
  <si>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</si>
  <si>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</si>
  <si>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</si>
  <si>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</si>
  <si>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</si>
  <si>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</si>
  <si>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</si>
  <si>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</si>
  <si>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</si>
  <si>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</si>
  <si>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</si>
  <si>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</si>
  <si>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</si>
  <si>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</si>
  <si>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</si>
  <si>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</si>
  <si>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</si>
  <si>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</si>
  <si>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</si>
  <si>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</si>
  <si>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</si>
  <si>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</si>
  <si>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</si>
  <si>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</si>
  <si>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</si>
  <si>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</si>
  <si>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</si>
  <si>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</si>
  <si>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</si>
  <si>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</si>
  <si>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</si>
  <si>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</si>
  <si>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</si>
  <si>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</si>
  <si>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</si>
  <si>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</si>
  <si>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</si>
  <si>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</si>
  <si>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</si>
  <si>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</si>
  <si>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</si>
  <si>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</si>
  <si>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</si>
  <si>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</si>
  <si>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</si>
  <si>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</si>
  <si>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</si>
  <si>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</si>
  <si>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</si>
  <si>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</si>
  <si>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</si>
  <si>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</si>
  <si>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</si>
  <si>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</si>
  <si>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</si>
  <si>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</si>
  <si>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</si>
  <si>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</si>
  <si>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</si>
  <si>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</si>
  <si>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</si>
  <si>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</si>
  <si>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</si>
  <si>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</si>
  <si>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</si>
  <si>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</si>
  <si>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</si>
  <si>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</si>
  <si>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</si>
  <si>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</si>
  <si>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</si>
  <si>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</si>
  <si>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</si>
  <si>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</si>
  <si>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</si>
  <si>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</si>
  <si>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</si>
  <si>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</si>
  <si>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</si>
  <si>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</si>
  <si>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</si>
  <si>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</si>
  <si>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</si>
  <si>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</si>
  <si>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</si>
  <si>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</si>
  <si>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</si>
  <si>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</si>
  <si>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</si>
  <si>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</si>
  <si>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</si>
  <si>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</si>
  <si>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</si>
  <si>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</si>
  <si>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</si>
  <si>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</si>
  <si>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</si>
  <si>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</si>
  <si>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</si>
  <si>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</si>
  <si>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</si>
  <si>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</si>
  <si>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</si>
  <si>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</si>
  <si>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</si>
  <si>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</si>
  <si>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</si>
  <si>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</si>
  <si>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</si>
  <si>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</si>
  <si>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</si>
  <si>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</si>
  <si>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</si>
  <si>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</si>
  <si>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</si>
  <si>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</si>
  <si>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</si>
  <si>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</si>
  <si>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</si>
  <si>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</si>
  <si>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</si>
  <si>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</si>
  <si>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</si>
  <si>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</si>
  <si>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</si>
  <si>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</si>
  <si>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</si>
  <si>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</si>
  <si>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</si>
  <si>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</si>
  <si>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</si>
  <si>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</si>
  <si>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</si>
  <si>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</si>
  <si>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</si>
  <si>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</si>
  <si>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</si>
  <si>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</si>
  <si>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</si>
  <si>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</si>
  <si>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</si>
  <si>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</si>
  <si>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</si>
  <si>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</si>
  <si>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</si>
  <si>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</si>
  <si>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</si>
  <si>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</si>
  <si>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</si>
  <si>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</si>
  <si>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</si>
  <si>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</si>
  <si>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</si>
  <si>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</si>
  <si>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</si>
  <si>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</si>
  <si>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</si>
  <si>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</si>
  <si>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</si>
  <si>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</si>
  <si>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</si>
  <si>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</si>
  <si>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</si>
  <si>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</si>
  <si>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</si>
  <si>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</si>
  <si>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</si>
  <si>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</si>
  <si>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</si>
  <si>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</si>
  <si>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</si>
  <si>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</si>
  <si>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</si>
  <si>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</si>
  <si>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</si>
  <si>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</si>
  <si>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</si>
  <si>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</si>
  <si>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</si>
  <si>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</si>
  <si>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</si>
  <si>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</si>
  <si>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</si>
  <si>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</si>
  <si>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</si>
  <si>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</si>
  <si>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</si>
  <si>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</si>
  <si>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</si>
  <si>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</si>
  <si>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</si>
  <si>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</si>
  <si>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</si>
  <si>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</si>
  <si>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</si>
  <si>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</si>
  <si>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</si>
  <si>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</si>
  <si>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</si>
  <si>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</si>
  <si>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</si>
  <si>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</si>
  <si>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</si>
  <si>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</si>
  <si>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</si>
  <si>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</si>
  <si>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</si>
  <si>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</si>
  <si>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</si>
  <si>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</si>
  <si>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</si>
  <si>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</si>
  <si>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</si>
  <si>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</si>
  <si>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</si>
  <si>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</si>
  <si>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</si>
  <si>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</si>
  <si>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</si>
  <si>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</si>
  <si>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</si>
  <si>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</si>
  <si>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</si>
  <si>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</si>
  <si>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</si>
  <si>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</si>
  <si>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</si>
  <si>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</si>
  <si>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</si>
  <si>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</si>
  <si>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</si>
  <si>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</si>
  <si>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</si>
  <si>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</si>
  <si>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</si>
  <si>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</si>
  <si>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</si>
  <si>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</si>
  <si>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</si>
  <si>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</si>
  <si>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</si>
  <si>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</si>
  <si>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</si>
  <si>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</si>
  <si>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</si>
  <si>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</si>
  <si>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</si>
  <si>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</si>
  <si>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</si>
  <si>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</si>
  <si>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</si>
  <si>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</si>
  <si>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</si>
  <si>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</si>
  <si>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</si>
  <si>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</si>
  <si>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</si>
  <si>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</si>
  <si>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</si>
  <si>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</si>
  <si>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</si>
  <si>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</si>
  <si>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</si>
  <si>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</si>
  <si>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</si>
  <si>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</si>
  <si>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</si>
  <si>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</si>
  <si>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</si>
  <si>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</si>
  <si>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</si>
  <si>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</si>
  <si>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</si>
  <si>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</si>
  <si>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</si>
  <si>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</si>
  <si>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</si>
  <si>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</si>
  <si>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</si>
  <si>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</si>
  <si>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</si>
  <si>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</si>
  <si>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</si>
  <si>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</si>
  <si>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</si>
  <si>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</si>
  <si>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</si>
  <si>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</si>
  <si>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</si>
  <si>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</si>
  <si>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</si>
  <si>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</si>
  <si>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</si>
  <si>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</si>
  <si>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</si>
  <si>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</si>
  <si>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</si>
  <si>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</si>
  <si>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</si>
  <si>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</si>
  <si>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</si>
  <si>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</si>
  <si>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</si>
  <si>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</si>
  <si>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</si>
  <si>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</si>
  <si>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</si>
  <si>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</si>
  <si>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</si>
  <si>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</si>
  <si>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</si>
  <si>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</si>
  <si>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</si>
  <si>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</si>
  <si>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</si>
  <si>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</si>
  <si>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</si>
  <si>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</si>
  <si>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</si>
  <si>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</si>
  <si>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</si>
  <si>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</si>
  <si>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</si>
  <si>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</si>
  <si>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</si>
  <si>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</si>
  <si>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</si>
  <si>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</si>
  <si>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</si>
  <si>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</si>
  <si>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</si>
  <si>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</si>
  <si>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</si>
  <si>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</si>
  <si>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</si>
  <si>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</si>
  <si>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</si>
  <si>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</si>
  <si>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</si>
  <si>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</si>
  <si>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</si>
  <si>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</si>
  <si>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</si>
  <si>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</si>
  <si>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</si>
  <si>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</si>
  <si>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</si>
  <si>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</si>
  <si>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</si>
  <si>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</si>
  <si>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</si>
  <si>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</si>
  <si>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</si>
  <si>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</si>
  <si>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</si>
  <si>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</si>
  <si>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</si>
  <si>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</si>
  <si>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</si>
  <si>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</si>
  <si>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</si>
  <si>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</si>
  <si>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</si>
  <si>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</si>
  <si>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</si>
  <si>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</si>
  <si>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</si>
  <si>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</si>
  <si>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</si>
  <si>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</si>
  <si>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</si>
  <si>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</si>
  <si>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</si>
  <si>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</si>
  <si>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</si>
  <si>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</si>
  <si>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</si>
  <si>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</si>
  <si>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</si>
  <si>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</si>
  <si>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</si>
  <si>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</si>
  <si>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</si>
  <si>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</si>
  <si>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</si>
  <si>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</si>
  <si>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</si>
  <si>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</si>
  <si>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</si>
  <si>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</si>
  <si>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</si>
  <si>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</si>
  <si>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</si>
  <si>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</si>
  <si>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</si>
  <si>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</si>
  <si>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</si>
  <si>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</si>
  <si>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</si>
  <si>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</si>
  <si>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</si>
  <si>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</si>
  <si>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</si>
  <si>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</si>
  <si>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</si>
  <si>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</si>
  <si>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</si>
  <si>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</si>
  <si>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</si>
  <si>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</si>
  <si>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</si>
  <si>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</si>
  <si>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</si>
  <si>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</si>
  <si>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</si>
  <si>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</si>
  <si>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</si>
  <si>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</si>
  <si>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</si>
  <si>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</si>
  <si>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</si>
  <si>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</si>
  <si>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</si>
  <si>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</si>
  <si>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</si>
  <si>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</si>
  <si>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</si>
  <si>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</si>
  <si>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</si>
  <si>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</si>
  <si>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</si>
  <si>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</si>
  <si>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</si>
  <si>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</si>
  <si>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</si>
  <si>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</si>
  <si>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</si>
  <si>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</si>
  <si>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</si>
  <si>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</si>
  <si>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</si>
  <si>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</si>
  <si>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</si>
  <si>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</si>
  <si>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</si>
  <si>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</si>
  <si>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</si>
  <si>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</si>
  <si>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</si>
  <si>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</si>
  <si>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</si>
  <si>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</si>
  <si>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</si>
  <si>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</si>
  <si>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</si>
  <si>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</si>
  <si>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</si>
  <si>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</si>
  <si>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</si>
  <si>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</si>
  <si>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</si>
  <si>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</si>
  <si>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</si>
  <si>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</si>
  <si>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</si>
  <si>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</si>
  <si>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</si>
  <si>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</si>
  <si>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</si>
  <si>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</si>
  <si>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</si>
  <si>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</si>
  <si>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</si>
  <si>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</si>
  <si>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</si>
  <si>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</si>
  <si>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</si>
  <si>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</si>
  <si>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</si>
  <si>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</si>
  <si>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</si>
  <si>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</si>
  <si>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</si>
  <si>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</si>
  <si>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</si>
  <si>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</si>
  <si>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</si>
  <si>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</si>
  <si>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</si>
  <si>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</si>
  <si>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</si>
  <si>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</si>
  <si>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</si>
  <si>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</si>
  <si>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</si>
  <si>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</si>
  <si>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</si>
  <si>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</si>
  <si>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</si>
  <si>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</si>
  <si>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</si>
  <si>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</si>
  <si>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</si>
  <si>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</si>
  <si>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</si>
  <si>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</si>
  <si>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</si>
  <si>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</si>
  <si>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</si>
  <si>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</si>
  <si>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</si>
  <si>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</si>
  <si>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</si>
  <si>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</si>
  <si>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</si>
  <si>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</si>
  <si>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</si>
  <si>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</si>
  <si>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</si>
  <si>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</si>
  <si>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</si>
  <si>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</si>
  <si>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</si>
  <si>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</si>
  <si>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</si>
  <si>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</si>
  <si>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</si>
  <si>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</si>
  <si>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</si>
  <si>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</si>
  <si>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</si>
  <si>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</si>
  <si>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</si>
  <si>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</si>
  <si>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</si>
  <si>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</si>
  <si>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</si>
  <si>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</si>
  <si>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</si>
  <si>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</si>
  <si>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</si>
  <si>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</si>
  <si>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</si>
  <si>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</si>
  <si>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</si>
  <si>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</si>
  <si>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</si>
  <si>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</si>
  <si>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</si>
  <si>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</si>
  <si>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</si>
  <si>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</si>
  <si>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</si>
  <si>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</si>
  <si>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</si>
  <si>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</si>
  <si>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</si>
  <si>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</si>
  <si>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</si>
  <si>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</si>
  <si>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</si>
  <si>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</si>
  <si>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</si>
  <si>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</si>
  <si>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</si>
  <si>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</si>
  <si>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</si>
  <si>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</si>
  <si>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</si>
  <si>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</si>
  <si>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</si>
  <si>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</si>
  <si>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</si>
  <si>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</si>
  <si>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</si>
  <si>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</si>
  <si>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</si>
  <si>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</si>
  <si>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</si>
  <si>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</si>
  <si>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</si>
  <si>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</si>
  <si>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</si>
  <si>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</si>
  <si>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</si>
  <si>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</si>
  <si>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</si>
  <si>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</si>
  <si>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</si>
  <si>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</si>
  <si>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</si>
  <si>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</si>
  <si>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</si>
  <si>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</si>
  <si>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</si>
  <si>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</si>
  <si>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</si>
  <si>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</si>
  <si>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</si>
  <si>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</si>
  <si>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</si>
  <si>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</si>
  <si>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</si>
  <si>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</si>
  <si>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</si>
  <si>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</si>
  <si>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</si>
  <si>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</si>
  <si>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</si>
  <si>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</si>
  <si>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</si>
  <si>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</si>
  <si>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</si>
  <si>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</si>
  <si>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</si>
  <si>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</si>
  <si>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</si>
  <si>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</si>
  <si>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</si>
  <si>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</si>
  <si>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</si>
  <si>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</si>
  <si>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</si>
  <si>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</si>
  <si>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</si>
  <si>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</si>
  <si>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</si>
  <si>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</si>
  <si>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</si>
  <si>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</si>
  <si>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</si>
  <si>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</si>
  <si>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</si>
  <si>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</si>
  <si>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</si>
  <si>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</si>
  <si>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</si>
  <si>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</si>
  <si>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</si>
  <si>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</si>
  <si>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</si>
  <si>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</si>
  <si>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</si>
  <si>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</si>
  <si>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</si>
  <si>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</si>
  <si>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</si>
  <si>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</si>
  <si>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</si>
  <si>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</si>
  <si>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</si>
  <si>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</si>
  <si>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</si>
  <si>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</si>
  <si>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</si>
  <si>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</si>
  <si>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</si>
  <si>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</si>
  <si>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</si>
  <si>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</si>
  <si>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</si>
  <si>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</si>
  <si>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</si>
  <si>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</si>
  <si>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</si>
  <si>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</si>
  <si>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</si>
  <si>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</si>
  <si>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</si>
  <si>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</si>
  <si>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</si>
  <si>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</si>
  <si>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</si>
  <si>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</si>
  <si>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</si>
  <si>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</si>
  <si>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</si>
  <si>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</si>
  <si>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</si>
  <si>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</si>
  <si>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</si>
  <si>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</si>
  <si>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</si>
  <si>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</si>
  <si>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</si>
  <si>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</si>
  <si>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</si>
  <si>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</si>
  <si>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</si>
  <si>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</si>
  <si>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</si>
  <si>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</si>
  <si>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</si>
  <si>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</si>
  <si>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</si>
  <si>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</si>
  <si>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</si>
  <si>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</si>
  <si>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</si>
  <si>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</si>
  <si>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</si>
  <si>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</si>
  <si>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</si>
  <si>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</si>
  <si>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</si>
  <si>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</si>
  <si>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</si>
  <si>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</si>
  <si>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</si>
  <si>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</si>
  <si>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</si>
  <si>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</si>
  <si>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</si>
  <si>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</si>
  <si>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</si>
  <si>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</si>
  <si>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</si>
  <si>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</si>
  <si>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</si>
  <si>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</si>
  <si>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</si>
  <si>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</si>
  <si>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</si>
  <si>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</si>
  <si>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</si>
  <si>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</si>
  <si>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</si>
  <si>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</si>
  <si>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</si>
  <si>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</si>
  <si>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</si>
  <si>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</si>
  <si>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</si>
  <si>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</si>
  <si>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</si>
  <si>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</si>
  <si>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</si>
  <si>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</si>
  <si>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</si>
  <si>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</si>
  <si>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</si>
  <si>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</si>
  <si>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</si>
  <si>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</si>
  <si>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</si>
  <si>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</si>
  <si>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</si>
  <si>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</si>
  <si>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</si>
  <si>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</si>
  <si>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</si>
  <si>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</si>
  <si>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</si>
  <si>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</si>
  <si>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</si>
  <si>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</si>
  <si>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</si>
  <si>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</si>
  <si>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</si>
  <si>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</si>
  <si>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</si>
  <si>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</si>
  <si>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</si>
  <si>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</si>
  <si>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</si>
  <si>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</si>
  <si>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</si>
  <si>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</si>
  <si>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</si>
  <si>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</si>
  <si>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</si>
  <si>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</si>
  <si>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</si>
  <si>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</si>
  <si>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</si>
  <si>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</si>
  <si>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</si>
  <si>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</si>
  <si>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</si>
  <si>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</si>
  <si>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</si>
  <si>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</si>
  <si>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</si>
  <si>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</si>
  <si>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</si>
  <si>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</si>
  <si>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</si>
  <si>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</si>
  <si>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</si>
  <si>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</si>
  <si>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</si>
  <si>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</si>
  <si>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</si>
  <si>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</si>
  <si>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</si>
  <si>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</si>
  <si>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</si>
  <si>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</si>
  <si>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</si>
  <si>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</si>
  <si>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</si>
  <si>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</si>
  <si>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</si>
  <si>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</si>
  <si>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</si>
  <si>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</si>
  <si>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</si>
  <si>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</si>
  <si>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</si>
  <si>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</si>
  <si>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</si>
  <si>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</si>
  <si>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</si>
  <si>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</si>
  <si>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</si>
  <si>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</si>
  <si>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</si>
  <si>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</si>
  <si>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</si>
  <si>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</si>
  <si>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</si>
  <si>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</si>
  <si>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</si>
  <si>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</si>
  <si>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</si>
  <si>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</si>
  <si>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</si>
  <si>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</si>
  <si>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</si>
  <si>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</si>
  <si>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</si>
  <si>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</si>
  <si>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</si>
  <si>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</si>
  <si>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</si>
  <si>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</si>
  <si>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</si>
  <si>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</si>
  <si>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</si>
  <si>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</si>
  <si>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</si>
  <si>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</si>
  <si>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</si>
  <si>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</si>
  <si>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</si>
  <si>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</si>
  <si>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</si>
  <si>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</si>
  <si>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</si>
  <si>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</si>
  <si>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</si>
  <si>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</si>
  <si>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</si>
  <si>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</si>
  <si>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</si>
  <si>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</si>
  <si>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</si>
  <si>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</si>
  <si>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</si>
  <si>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</si>
  <si>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</si>
  <si>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</si>
  <si>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</si>
  <si>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</si>
  <si>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</si>
  <si>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</si>
  <si>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</si>
  <si>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</si>
  <si>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</si>
  <si>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</si>
  <si>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</si>
  <si>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</si>
  <si>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</si>
  <si>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</si>
  <si>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</si>
  <si>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</si>
  <si>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</si>
  <si>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</si>
  <si>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</si>
  <si>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</si>
  <si>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</si>
  <si>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</si>
  <si>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</si>
  <si>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</si>
  <si>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</si>
  <si>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</si>
  <si>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</si>
  <si>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</si>
  <si>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</si>
  <si>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</si>
  <si>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</si>
  <si>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</si>
  <si>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</si>
  <si>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</si>
  <si>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</si>
  <si>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</si>
  <si>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</si>
  <si>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</si>
  <si>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</si>
  <si>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</si>
  <si>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</si>
  <si>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</si>
  <si>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</si>
  <si>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</si>
  <si>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</si>
  <si>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</si>
  <si>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</si>
  <si>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</si>
  <si>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</si>
  <si>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</si>
  <si>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</si>
  <si>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</si>
  <si>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</si>
  <si>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</si>
  <si>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</si>
  <si>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</si>
  <si>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</si>
  <si>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</si>
  <si>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</si>
  <si>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</si>
  <si>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</si>
  <si>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</si>
  <si>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</si>
  <si>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</si>
  <si>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</si>
  <si>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</si>
  <si>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</si>
  <si>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</si>
  <si>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</si>
  <si>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</si>
  <si>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</si>
  <si>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</si>
  <si>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</si>
  <si>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</si>
  <si>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</si>
  <si>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</si>
  <si>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</si>
  <si>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</si>
  <si>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</si>
  <si>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</si>
  <si>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</si>
  <si>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</si>
  <si>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</si>
  <si>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</si>
  <si>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</si>
  <si>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</si>
  <si>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</si>
  <si>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</si>
  <si>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</si>
  <si>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</si>
  <si>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</si>
  <si>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</si>
  <si>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</si>
  <si>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</si>
  <si>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</si>
  <si>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</si>
  <si>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</si>
  <si>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</si>
  <si>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</si>
  <si>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</si>
  <si>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</si>
  <si>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</si>
  <si>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</si>
  <si>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</si>
  <si>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</si>
  <si>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</si>
  <si>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</si>
  <si>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</si>
  <si>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</si>
  <si>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</si>
  <si>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</si>
  <si>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</si>
  <si>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</si>
  <si>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</si>
  <si>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</si>
  <si>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</si>
  <si>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</si>
  <si>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</si>
  <si>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</si>
  <si>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</si>
  <si>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</si>
  <si>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</si>
  <si>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</si>
  <si>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</si>
  <si>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</si>
  <si>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</si>
  <si>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</si>
  <si>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</si>
  <si>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</si>
  <si>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</si>
  <si>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</si>
  <si>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</si>
  <si>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</si>
  <si>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</si>
  <si>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</si>
  <si>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</si>
  <si>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</si>
  <si>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</si>
  <si>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</si>
  <si>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</si>
  <si>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</si>
  <si>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</si>
  <si>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</si>
  <si>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</si>
  <si>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</si>
  <si>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</si>
  <si>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</si>
  <si>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</si>
  <si>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</si>
  <si>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</si>
  <si>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</si>
  <si>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</si>
  <si>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</si>
  <si>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</si>
  <si>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</si>
  <si>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</si>
  <si>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</si>
  <si>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</si>
  <si>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</si>
  <si>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</si>
  <si>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</si>
  <si>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</si>
  <si>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</si>
  <si>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</si>
  <si>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</si>
  <si>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</si>
  <si>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</si>
  <si>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</si>
  <si>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</si>
  <si>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</si>
  <si>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</si>
  <si>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</si>
  <si>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</si>
  <si>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</si>
  <si>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</si>
  <si>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</si>
  <si>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</si>
  <si>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</si>
  <si>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</si>
  <si>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</si>
  <si>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</si>
  <si>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</si>
  <si>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</si>
  <si>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</si>
  <si>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</si>
  <si>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</si>
  <si>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</si>
  <si>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</si>
  <si>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</si>
  <si>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</si>
  <si>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</si>
  <si>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</si>
  <si>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</si>
  <si>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</si>
  <si>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</si>
  <si>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</si>
  <si>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</si>
  <si>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</si>
  <si>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</si>
  <si>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</si>
  <si>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</si>
  <si>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</si>
  <si>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</si>
  <si>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</si>
  <si>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</si>
  <si>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</si>
  <si>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</si>
  <si>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</si>
  <si>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</si>
  <si>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</si>
  <si>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</si>
  <si>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</si>
  <si>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</si>
  <si>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</si>
  <si>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</si>
  <si>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</si>
  <si>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</si>
  <si>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</si>
  <si>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</si>
  <si>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</si>
  <si>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</si>
  <si>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</si>
  <si>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</si>
  <si>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</si>
  <si>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</si>
  <si>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</si>
  <si>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</si>
  <si>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</si>
  <si>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</si>
  <si>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</si>
  <si>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</si>
  <si>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</si>
  <si>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</si>
  <si>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</si>
  <si>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</si>
  <si>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</si>
  <si>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</si>
  <si>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</si>
  <si>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</si>
  <si>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</si>
  <si>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</si>
  <si>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</si>
  <si>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</si>
  <si>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</si>
  <si>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</si>
  <si>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</si>
  <si>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</si>
  <si>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</si>
  <si>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</si>
  <si>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</si>
  <si>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</si>
  <si>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</si>
  <si>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</si>
  <si>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</si>
  <si>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</si>
  <si>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</si>
  <si>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</si>
  <si>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</si>
  <si>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</si>
  <si>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</si>
  <si>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</si>
  <si>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</si>
  <si>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</si>
  <si>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</si>
  <si>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</si>
  <si>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</si>
  <si>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</si>
  <si>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</si>
  <si>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</si>
  <si>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</si>
  <si>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</si>
  <si>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</si>
  <si>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</si>
  <si>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</si>
  <si>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</si>
  <si>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</si>
  <si>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</si>
  <si>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</si>
  <si>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</si>
  <si>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</si>
  <si>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</si>
  <si>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</si>
  <si>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</si>
  <si>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</si>
  <si>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</si>
  <si>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</si>
  <si>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</si>
  <si>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</si>
  <si>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</si>
  <si>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</si>
  <si>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</si>
  <si>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</si>
  <si>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</si>
  <si>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</si>
  <si>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</si>
  <si>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</si>
  <si>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</si>
  <si>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</si>
  <si>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</si>
  <si>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</si>
  <si>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</si>
  <si>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</si>
  <si>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</si>
  <si>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</si>
  <si>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</si>
  <si>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</si>
  <si>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</si>
  <si>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</si>
  <si>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</si>
  <si>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</si>
  <si>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</si>
  <si>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</si>
  <si>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</si>
  <si>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</si>
  <si>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</si>
  <si>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</si>
  <si>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</si>
  <si>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</si>
  <si>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</si>
  <si>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</si>
  <si>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</si>
  <si>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</si>
  <si>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</si>
  <si>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</si>
  <si>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</si>
  <si>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</si>
  <si>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</si>
  <si>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</si>
  <si>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</si>
  <si>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</si>
  <si>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</si>
  <si>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</si>
  <si>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</si>
  <si>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</si>
  <si>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</si>
  <si>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</si>
  <si>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</si>
  <si>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</si>
  <si>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</si>
  <si>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</si>
  <si>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</si>
  <si>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</si>
  <si>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</si>
  <si>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</si>
  <si>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</si>
  <si>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</si>
  <si>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</si>
  <si>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</si>
  <si>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</si>
  <si>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</si>
  <si>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</si>
  <si>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</si>
  <si>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</si>
  <si>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</si>
  <si>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</si>
  <si>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</si>
  <si>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</si>
  <si>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</si>
  <si>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</si>
  <si>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</si>
  <si>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</si>
  <si>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</si>
  <si>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</si>
  <si>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</si>
  <si>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</si>
  <si>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</si>
  <si>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</si>
  <si>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</si>
  <si>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</si>
  <si>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</si>
  <si>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</si>
  <si>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</si>
  <si>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</si>
  <si>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</si>
  <si>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</si>
  <si>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</si>
  <si>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</si>
  <si>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</si>
  <si>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</si>
  <si>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</si>
  <si>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</si>
  <si>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</si>
  <si>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</si>
  <si>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</si>
  <si>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</si>
  <si>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</si>
  <si>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</si>
  <si>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</si>
  <si>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</si>
  <si>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</si>
  <si>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</si>
  <si>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</si>
  <si>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</si>
  <si>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</si>
  <si>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</si>
  <si>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</si>
  <si>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</si>
  <si>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</si>
  <si>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</si>
  <si>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</si>
  <si>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</si>
  <si>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</si>
  <si>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</si>
  <si>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</si>
  <si>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</si>
  <si>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</si>
  <si>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</si>
  <si>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</si>
  <si>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</si>
  <si>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</si>
  <si>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</si>
  <si>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</si>
  <si>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</si>
  <si>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</si>
  <si>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</si>
  <si>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</si>
  <si>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</si>
  <si>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</si>
  <si>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</si>
  <si>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</si>
  <si>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</si>
  <si>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</si>
  <si>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</si>
  <si>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</si>
  <si>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</si>
  <si>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</si>
  <si>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</si>
  <si>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</si>
  <si>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</si>
  <si>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</si>
  <si>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</si>
  <si>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</si>
  <si>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</si>
  <si>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</si>
  <si>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</si>
  <si>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</si>
  <si>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</si>
  <si>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</si>
  <si>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</si>
  <si>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</si>
  <si>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</si>
  <si>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</si>
  <si>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</si>
  <si>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</si>
  <si>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</si>
  <si>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</si>
  <si>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</si>
  <si>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</si>
  <si>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</si>
  <si>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</si>
  <si>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</si>
  <si>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</si>
  <si>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</si>
  <si>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</si>
  <si>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</si>
  <si>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</si>
  <si>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</si>
  <si>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</si>
  <si>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</si>
  <si>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</si>
  <si>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</si>
  <si>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</si>
  <si>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</si>
  <si>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</si>
  <si>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</si>
  <si>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</si>
  <si>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</si>
  <si>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</si>
  <si>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</si>
  <si>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</si>
  <si>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</si>
  <si>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</si>
  <si>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</si>
  <si>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</si>
  <si>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</si>
  <si>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</si>
  <si>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</si>
  <si>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</si>
  <si>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</si>
  <si>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</si>
  <si>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</si>
  <si>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</si>
  <si>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</si>
  <si>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</si>
  <si>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</si>
  <si>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</si>
  <si>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</si>
  <si>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</si>
  <si>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</si>
  <si>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</si>
  <si>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</si>
  <si>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</si>
  <si>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</si>
  <si>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</si>
  <si>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</si>
  <si>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</si>
  <si>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</si>
  <si>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</si>
  <si>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</si>
  <si>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</si>
  <si>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</si>
  <si>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</si>
  <si>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</si>
  <si>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</si>
  <si>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</si>
  <si>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</si>
  <si>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</si>
  <si>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</si>
  <si>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</si>
  <si>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</si>
  <si>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</si>
  <si>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</si>
  <si>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</si>
  <si>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</si>
  <si>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</si>
  <si>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</si>
  <si>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</si>
  <si>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</si>
  <si>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</si>
  <si>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</si>
  <si>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</si>
  <si>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</si>
  <si>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</si>
  <si>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</si>
  <si>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</si>
  <si>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</si>
  <si>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</si>
  <si>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</si>
  <si>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</si>
  <si>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</si>
  <si>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</si>
  <si>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</si>
  <si>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</si>
  <si>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</si>
  <si>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</si>
  <si>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</si>
  <si>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</si>
  <si>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</si>
  <si>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</si>
  <si>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</si>
  <si>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</si>
  <si>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</si>
  <si>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</si>
  <si>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</si>
  <si>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</si>
  <si>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</si>
  <si>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</si>
  <si>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</si>
  <si>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</si>
  <si>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</si>
  <si>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</si>
  <si>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</si>
  <si>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</si>
  <si>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</si>
  <si>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</si>
  <si>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</si>
  <si>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</si>
  <si>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</si>
  <si>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</si>
  <si>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</si>
  <si>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</si>
  <si>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</si>
  <si>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</si>
  <si>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</si>
  <si>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</si>
  <si>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</si>
  <si>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</si>
  <si>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</si>
  <si>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</si>
  <si>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</si>
  <si>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</si>
  <si>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</si>
  <si>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</si>
  <si>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</si>
  <si>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</si>
  <si>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</si>
  <si>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</si>
  <si>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</si>
  <si>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</si>
  <si>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</si>
  <si>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</si>
  <si>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</si>
  <si>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</si>
  <si>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</si>
  <si>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</si>
  <si>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</si>
  <si>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</si>
  <si>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</si>
  <si>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</si>
  <si>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</si>
  <si>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</si>
  <si>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</si>
  <si>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</si>
  <si>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</si>
  <si>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</si>
  <si>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</si>
  <si>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</si>
  <si>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</si>
  <si>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</si>
  <si>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</si>
  <si>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</si>
  <si>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</si>
  <si>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</si>
  <si>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</si>
  <si>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</si>
  <si>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</si>
  <si>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</si>
  <si>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</si>
  <si>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</si>
  <si>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</si>
  <si>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</si>
  <si>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</si>
  <si>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</si>
  <si>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</si>
  <si>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</si>
  <si>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</si>
  <si>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</si>
  <si>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</si>
  <si>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</si>
  <si>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</si>
  <si>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</si>
  <si>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</si>
  <si>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</si>
  <si>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</si>
  <si>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</si>
  <si>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</si>
  <si>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</si>
  <si>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</si>
  <si>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</si>
  <si>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</si>
  <si>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</si>
  <si>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</si>
  <si>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</si>
  <si>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</si>
  <si>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</si>
  <si>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</si>
  <si>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</si>
  <si>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</si>
  <si>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</si>
  <si>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</si>
  <si>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</si>
  <si>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</si>
  <si>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</si>
  <si>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</si>
  <si>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</si>
  <si>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</si>
  <si>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</si>
  <si>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</si>
  <si>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</si>
  <si>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</si>
  <si>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</si>
  <si>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</si>
  <si>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</si>
  <si>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</si>
  <si>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</si>
  <si>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</si>
  <si>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</si>
  <si>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</si>
  <si>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</si>
  <si>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</si>
  <si>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</si>
  <si>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</si>
  <si>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</si>
  <si>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</si>
  <si>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</si>
  <si>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</si>
  <si>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</si>
  <si>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</si>
  <si>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</si>
  <si>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</si>
  <si>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</si>
  <si>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</si>
  <si>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</si>
  <si>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</si>
  <si>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</si>
  <si>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</si>
  <si>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</si>
  <si>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</si>
  <si>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</si>
  <si>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</si>
  <si>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</si>
  <si>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</si>
  <si>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</si>
  <si>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</si>
  <si>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</si>
  <si>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</si>
  <si>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</si>
  <si>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</si>
  <si>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</si>
  <si>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</si>
  <si>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</si>
  <si>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</si>
  <si>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</si>
  <si>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</si>
  <si>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</si>
  <si>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</si>
  <si>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</si>
  <si>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</si>
  <si>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</si>
  <si>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</si>
  <si>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</si>
  <si>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</si>
  <si>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</si>
  <si>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</si>
  <si>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</si>
  <si>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</si>
  <si>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</si>
  <si>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</si>
  <si>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</si>
  <si>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</si>
  <si>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</si>
  <si>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</si>
  <si>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</si>
  <si>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</si>
  <si>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</si>
  <si>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</si>
  <si>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</si>
  <si>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</si>
  <si>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</si>
  <si>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</si>
  <si>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</si>
  <si>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</si>
  <si>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</si>
  <si>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</si>
  <si>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</si>
  <si>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</si>
  <si>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</si>
  <si>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</si>
  <si>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</si>
  <si>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</si>
  <si>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</si>
  <si>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</si>
  <si>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</si>
  <si>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</si>
  <si>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</si>
  <si>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</si>
  <si>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</si>
  <si>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</si>
  <si>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</si>
  <si>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</si>
  <si>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</si>
  <si>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</si>
  <si>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</si>
  <si>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</si>
  <si>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</si>
  <si>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</si>
  <si>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</si>
  <si>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</si>
  <si>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</si>
  <si>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</si>
  <si>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</si>
  <si>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</si>
  <si>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</si>
  <si>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</si>
  <si>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</si>
  <si>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</si>
  <si>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</si>
  <si>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</si>
  <si>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</si>
  <si>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</si>
  <si>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</si>
  <si>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</si>
  <si>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</si>
  <si>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</si>
  <si>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</si>
  <si>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</si>
  <si>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</si>
  <si>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</si>
  <si>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</si>
  <si>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</si>
  <si>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</si>
  <si>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</si>
  <si>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</si>
  <si>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</si>
  <si>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</si>
  <si>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</si>
  <si>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</si>
  <si>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</si>
  <si>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</si>
  <si>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</si>
  <si>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</si>
  <si>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</si>
  <si>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</si>
  <si>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</si>
  <si>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</si>
  <si>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</si>
  <si>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</si>
  <si>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</si>
  <si>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</si>
  <si>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</si>
  <si>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</si>
  <si>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</si>
  <si>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</si>
  <si>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</si>
  <si>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</si>
  <si>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</si>
  <si>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</si>
  <si>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</si>
  <si>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</si>
  <si>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</si>
  <si>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</si>
  <si>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</si>
  <si>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</si>
  <si>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</si>
  <si>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</si>
  <si>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</si>
  <si>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</si>
  <si>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</si>
  <si>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</si>
  <si>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</si>
  <si>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</si>
  <si>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</si>
  <si>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</si>
  <si>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</si>
  <si>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</si>
  <si>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</si>
  <si>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</si>
  <si>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</si>
  <si>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</si>
  <si>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</si>
  <si>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</si>
  <si>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</si>
  <si>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</si>
  <si>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</si>
  <si>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</si>
  <si>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</si>
  <si>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</si>
  <si>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</si>
  <si>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</si>
  <si>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</si>
  <si>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</si>
  <si>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</si>
  <si>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</si>
  <si>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</si>
  <si>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</si>
  <si>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</si>
  <si>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</si>
  <si>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</si>
  <si>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</si>
  <si>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</si>
  <si>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</si>
  <si>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</si>
  <si>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</si>
  <si>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</si>
  <si>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</si>
  <si>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</si>
  <si>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</si>
  <si>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</si>
  <si>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</si>
  <si>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</si>
  <si>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</si>
  <si>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</si>
  <si>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</si>
  <si>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</si>
  <si>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</si>
  <si>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</si>
  <si>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</si>
  <si>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</si>
  <si>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</si>
  <si>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</si>
  <si>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</si>
  <si>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</si>
  <si>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</si>
  <si>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</si>
  <si>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</si>
  <si>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</si>
  <si>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</si>
  <si>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</si>
  <si>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</si>
  <si>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</si>
  <si>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</si>
  <si>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</si>
  <si>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</si>
  <si>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</si>
  <si>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</si>
  <si>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</si>
  <si>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</si>
  <si>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</si>
  <si>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</si>
  <si>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</si>
  <si>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</si>
  <si>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</si>
  <si>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</si>
  <si>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</si>
  <si>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</si>
  <si>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</si>
  <si>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</si>
  <si>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</si>
  <si>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</si>
  <si>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</si>
  <si>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</si>
  <si>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</si>
  <si>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</si>
  <si>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</si>
  <si>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</si>
  <si>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</si>
  <si>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</si>
  <si>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</si>
  <si>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</si>
  <si>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</si>
  <si>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</si>
  <si>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</si>
  <si>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</si>
  <si>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</si>
  <si>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</si>
  <si>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</si>
  <si>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</si>
  <si>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</si>
  <si>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</si>
  <si>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</si>
  <si>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</si>
  <si>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</si>
  <si>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</si>
  <si>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</si>
  <si>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</si>
  <si>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</si>
  <si>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</si>
  <si>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</si>
  <si>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</si>
  <si>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</si>
  <si>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</si>
  <si>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</si>
  <si>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</si>
  <si>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</si>
  <si>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</si>
  <si>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</si>
  <si>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</si>
  <si>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</si>
  <si>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</si>
  <si>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</si>
  <si>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</si>
  <si>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</si>
  <si>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</si>
  <si>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</si>
  <si>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</si>
  <si>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</si>
  <si>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</si>
  <si>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</si>
  <si>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</si>
  <si>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</si>
  <si>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</si>
  <si>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</si>
  <si>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</si>
  <si>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</si>
  <si>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</si>
  <si>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</si>
  <si>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</si>
  <si>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</si>
  <si>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</si>
  <si>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</si>
  <si>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</si>
  <si>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</si>
  <si>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</si>
  <si>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</si>
  <si>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</si>
  <si>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</si>
  <si>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</si>
  <si>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</si>
  <si>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</si>
  <si>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</si>
  <si>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</si>
  <si>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</si>
  <si>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</si>
  <si>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</si>
  <si>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</si>
  <si>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</si>
  <si>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</si>
  <si>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</si>
  <si>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</si>
  <si>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</si>
  <si>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</si>
  <si>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</si>
  <si>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</si>
  <si>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</si>
  <si>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</si>
  <si>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</si>
  <si>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</si>
  <si>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</si>
  <si>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</si>
  <si>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</si>
  <si>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</si>
  <si>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</si>
  <si>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</si>
  <si>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</si>
  <si>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</si>
  <si>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</si>
  <si>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</si>
  <si>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</si>
  <si>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</si>
  <si>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</si>
  <si>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</si>
  <si>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</si>
  <si>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</si>
  <si>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</si>
  <si>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</si>
  <si>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</si>
  <si>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</si>
  <si>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</si>
  <si>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</si>
  <si>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</si>
  <si>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</si>
  <si>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</si>
  <si>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</si>
  <si>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</si>
  <si>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</si>
  <si>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</si>
  <si>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</si>
  <si>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</si>
  <si>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</si>
  <si>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</si>
  <si>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</si>
  <si>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</si>
  <si>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</si>
  <si>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</si>
  <si>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</si>
  <si>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</si>
  <si>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</si>
  <si>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</si>
  <si>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</si>
  <si>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</si>
  <si>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</si>
  <si>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</si>
  <si>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</si>
  <si>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</si>
  <si>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</si>
  <si>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</si>
  <si>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</si>
  <si>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</si>
  <si>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</si>
  <si>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</si>
  <si>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</si>
  <si>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</si>
  <si>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</si>
  <si>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</si>
  <si>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</si>
  <si>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</si>
  <si>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</si>
  <si>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</si>
  <si>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</si>
  <si>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</si>
  <si>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</si>
  <si>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</si>
  <si>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</si>
  <si>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</si>
  <si>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</si>
  <si>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</si>
  <si>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</si>
  <si>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</si>
  <si>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</si>
  <si>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</si>
  <si>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</si>
  <si>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</si>
  <si>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</si>
  <si>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</si>
  <si>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</si>
  <si>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</si>
  <si>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</si>
  <si>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</si>
  <si>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</si>
  <si>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</si>
  <si>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</si>
  <si>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</si>
  <si>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</si>
  <si>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</si>
  <si>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</si>
  <si>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</si>
  <si>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</si>
  <si>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</si>
  <si>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</si>
  <si>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</si>
  <si>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</si>
  <si>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</si>
  <si>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</si>
  <si>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</si>
  <si>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</si>
  <si>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</si>
  <si>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</si>
  <si>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</si>
  <si>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</si>
  <si>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</si>
  <si>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</si>
  <si>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</si>
  <si>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</si>
  <si>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</si>
  <si>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</si>
  <si>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</si>
  <si>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</si>
  <si>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</si>
  <si>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</si>
  <si>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</si>
  <si>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</si>
  <si>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</si>
  <si>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</si>
  <si>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</si>
  <si>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</si>
  <si>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</si>
  <si>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</si>
  <si>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</si>
  <si>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</si>
  <si>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</si>
  <si>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</si>
  <si>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</si>
  <si>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</si>
  <si>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</si>
  <si>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</si>
  <si>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</si>
  <si>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</si>
  <si>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</si>
  <si>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</si>
  <si>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</si>
  <si>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</si>
  <si>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</si>
  <si>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</si>
  <si>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</si>
  <si>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</si>
  <si>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</si>
  <si>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</si>
  <si>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</si>
  <si>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</si>
  <si>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</si>
  <si>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</si>
  <si>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</si>
  <si>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</si>
  <si>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</si>
  <si>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</si>
  <si>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</si>
  <si>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</si>
  <si>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</si>
  <si>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</si>
  <si>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</si>
  <si>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</si>
  <si>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</si>
  <si>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</si>
  <si>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</si>
  <si>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</si>
  <si>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</si>
  <si>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</si>
  <si>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</si>
  <si>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</si>
  <si>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</si>
  <si>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</si>
  <si>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</si>
  <si>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</si>
  <si>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</si>
  <si>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</si>
  <si>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</si>
  <si>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</si>
  <si>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</si>
  <si>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</si>
  <si>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</si>
  <si>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</si>
  <si>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</si>
  <si>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</si>
  <si>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</si>
  <si>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</si>
  <si>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</si>
  <si>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</si>
  <si>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</si>
  <si>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</si>
  <si>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</si>
  <si>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</si>
  <si>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</si>
  <si>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</si>
  <si>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</si>
  <si>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</si>
  <si>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</si>
  <si>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</si>
  <si>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</si>
  <si>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</si>
  <si>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</si>
  <si>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</si>
  <si>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</si>
  <si>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</si>
  <si>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</si>
  <si>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</si>
  <si>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</si>
  <si>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</si>
  <si>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</si>
  <si>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</si>
  <si>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</si>
  <si>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</si>
  <si>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</si>
  <si>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</si>
  <si>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</si>
  <si>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</si>
  <si>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</si>
  <si>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</si>
  <si>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</si>
  <si>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</si>
  <si>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</si>
  <si>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</si>
  <si>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</si>
  <si>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</si>
  <si>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</si>
  <si>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</si>
  <si>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</si>
  <si>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</si>
  <si>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</si>
  <si>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</si>
  <si>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</si>
  <si>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</si>
  <si>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</si>
  <si>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</si>
  <si>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</si>
  <si>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</si>
  <si>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</si>
  <si>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</si>
  <si>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</si>
  <si>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</si>
  <si>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</si>
  <si>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</si>
  <si>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</si>
  <si>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</si>
  <si>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</si>
  <si>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</si>
  <si>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</si>
  <si>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</si>
  <si>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</si>
  <si>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</si>
  <si>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</si>
  <si>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</si>
  <si>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</si>
  <si>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</si>
  <si>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</si>
  <si>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</si>
  <si>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</si>
  <si>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</si>
  <si>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</si>
  <si>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</si>
  <si>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</si>
  <si>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</si>
  <si>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</si>
  <si>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</si>
  <si>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</si>
  <si>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</si>
  <si>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</si>
  <si>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</si>
  <si>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</si>
  <si>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</si>
  <si>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</si>
  <si>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</si>
  <si>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</si>
  <si>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</si>
  <si>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</si>
  <si>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</si>
  <si>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</si>
  <si>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</si>
  <si>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</si>
  <si>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</si>
  <si>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</si>
  <si>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</si>
  <si>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</si>
  <si>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</si>
  <si>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</si>
  <si>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</si>
  <si>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</si>
  <si>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</si>
  <si>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</si>
  <si>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</si>
  <si>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</si>
  <si>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</si>
  <si>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</si>
  <si>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</si>
  <si>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</si>
  <si>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</si>
  <si>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</si>
  <si>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</si>
  <si>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</si>
  <si>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</si>
  <si>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</si>
  <si>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</si>
  <si>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</si>
  <si>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</si>
  <si>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</si>
  <si>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</si>
  <si>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</si>
  <si>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</si>
  <si>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</si>
  <si>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</si>
  <si>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</si>
  <si>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</si>
  <si>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</si>
  <si>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</si>
  <si>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</si>
  <si>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</si>
  <si>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</si>
  <si>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</si>
  <si>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</si>
  <si>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</si>
  <si>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</si>
  <si>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</si>
  <si>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</si>
  <si>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</si>
  <si>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</si>
  <si>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</si>
  <si>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</si>
  <si>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</si>
  <si>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</si>
  <si>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</si>
  <si>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</si>
  <si>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</si>
  <si>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</si>
  <si>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</si>
  <si>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</si>
  <si>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</si>
  <si>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</si>
  <si>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</si>
  <si>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</si>
  <si>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</si>
  <si>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</si>
  <si>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</si>
  <si>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</si>
  <si>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</si>
  <si>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</si>
  <si>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</si>
  <si>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</si>
  <si>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</si>
  <si>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</si>
  <si>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</si>
  <si>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</si>
  <si>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</si>
  <si>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</si>
  <si>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</si>
  <si>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</si>
  <si>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</si>
  <si>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</si>
  <si>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</si>
  <si>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</si>
  <si>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</si>
  <si>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</si>
  <si>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</si>
  <si>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</si>
  <si>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</si>
  <si>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</si>
  <si>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</si>
  <si>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</si>
  <si>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</si>
  <si>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</si>
  <si>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</si>
  <si>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</si>
  <si>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</si>
  <si>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</si>
  <si>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</si>
  <si>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</si>
  <si>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</si>
  <si>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</si>
  <si>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</si>
  <si>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</si>
  <si>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</si>
  <si>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</si>
  <si>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</si>
  <si>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</si>
  <si>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</si>
  <si>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</si>
  <si>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</si>
  <si>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</si>
  <si>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</si>
  <si>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</si>
  <si>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</si>
  <si>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</si>
  <si>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</si>
  <si>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</si>
  <si>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</si>
  <si>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</si>
  <si>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</si>
  <si>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</si>
  <si>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</si>
  <si>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</si>
  <si>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</si>
  <si>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</si>
  <si>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</si>
  <si>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</si>
  <si>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</si>
  <si>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</si>
  <si>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</si>
  <si>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</si>
  <si>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</si>
  <si>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</si>
  <si>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</si>
  <si>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</si>
  <si>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</si>
  <si>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</si>
  <si>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</si>
  <si>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</si>
  <si>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</si>
  <si>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</si>
  <si>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</si>
  <si>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</si>
  <si>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</si>
  <si>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</si>
  <si>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</si>
  <si>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</si>
  <si>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</si>
  <si>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</si>
  <si>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</si>
  <si>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</si>
  <si>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</si>
  <si>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</si>
  <si>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</si>
  <si>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</si>
  <si>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</si>
  <si>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</si>
  <si>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</si>
  <si>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</si>
  <si>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</si>
  <si>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</si>
  <si>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</si>
  <si>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</si>
  <si>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</si>
  <si>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</si>
  <si>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</si>
  <si>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</si>
  <si>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</si>
  <si>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</si>
  <si>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</si>
  <si>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</si>
  <si>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</si>
  <si>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</si>
  <si>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</si>
  <si>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</si>
  <si>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</si>
  <si>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</si>
  <si>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</si>
  <si>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</si>
  <si>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</si>
  <si>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</si>
  <si>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</si>
  <si>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</si>
  <si>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</si>
  <si>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</si>
  <si>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</si>
  <si>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</si>
  <si>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</si>
  <si>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</si>
  <si>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</si>
  <si>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</si>
  <si>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</si>
  <si>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</si>
  <si>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</si>
  <si>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</si>
  <si>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</si>
  <si>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</si>
  <si>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</si>
  <si>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</si>
  <si>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</si>
  <si>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</si>
  <si>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</si>
  <si>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</si>
  <si>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</si>
  <si>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</si>
  <si>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</si>
  <si>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</si>
  <si>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</si>
  <si>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</si>
  <si>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</si>
  <si>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</si>
  <si>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</si>
  <si>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</si>
  <si>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</si>
  <si>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</si>
  <si>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</si>
  <si>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</si>
  <si>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</si>
  <si>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</si>
  <si>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</si>
  <si>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</si>
  <si>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</si>
  <si>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</si>
  <si>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</si>
  <si>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</si>
  <si>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</si>
  <si>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</si>
  <si>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</si>
  <si>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</si>
  <si>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</si>
  <si>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</si>
  <si>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</si>
  <si>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</si>
  <si>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</si>
  <si>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</si>
  <si>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</si>
  <si>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</si>
  <si>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</si>
  <si>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</si>
  <si>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</si>
  <si>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</si>
  <si>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</si>
  <si>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</si>
  <si>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</si>
  <si>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</si>
  <si>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</si>
  <si>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</si>
  <si>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</si>
  <si>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</si>
  <si>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</si>
  <si>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</si>
  <si>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</si>
  <si>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</si>
  <si>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</si>
  <si>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</si>
  <si>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</si>
  <si>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</si>
  <si>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</si>
  <si>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</si>
  <si>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</si>
  <si>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</si>
  <si>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</si>
  <si>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</si>
  <si>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</si>
  <si>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</si>
  <si>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</si>
  <si>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</si>
  <si>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</si>
  <si>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</si>
  <si>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</si>
  <si>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</si>
  <si>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</si>
  <si>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</si>
  <si>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</si>
  <si>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</si>
  <si>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</si>
  <si>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</si>
  <si>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</si>
  <si>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</si>
  <si>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</si>
  <si>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</si>
  <si>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</si>
  <si>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</si>
  <si>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</si>
  <si>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</si>
  <si>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</si>
  <si>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</si>
  <si>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</si>
  <si>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</si>
  <si>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</si>
  <si>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</si>
  <si>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</si>
  <si>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</si>
  <si>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</si>
  <si>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</si>
  <si>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</si>
  <si>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</si>
  <si>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</si>
  <si>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</si>
  <si>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</si>
  <si>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</si>
  <si>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</si>
  <si>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</si>
  <si>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</si>
  <si>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</si>
  <si>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</si>
  <si>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</si>
  <si>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</si>
  <si>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</si>
  <si>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</si>
  <si>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</si>
  <si>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</si>
  <si>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</si>
  <si>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</si>
  <si>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</si>
  <si>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</si>
  <si>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</si>
  <si>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</si>
  <si>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</si>
  <si>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</si>
  <si>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</si>
  <si>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</si>
  <si>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</si>
  <si>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</si>
  <si>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</si>
  <si>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</si>
  <si>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</si>
  <si>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</si>
  <si>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</si>
  <si>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</si>
  <si>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</si>
  <si>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</si>
  <si>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</si>
  <si>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</si>
  <si>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</si>
  <si>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</si>
  <si>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</si>
  <si>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</si>
  <si>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</si>
  <si>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</si>
  <si>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</si>
  <si>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</si>
  <si>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</si>
  <si>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</si>
  <si>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</si>
  <si>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</si>
  <si>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</si>
  <si>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</si>
  <si>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</si>
  <si>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</si>
  <si>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</si>
  <si>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</si>
  <si>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</si>
  <si>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</si>
  <si>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</si>
  <si>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</si>
  <si>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</si>
  <si>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</si>
  <si>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</si>
  <si>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</si>
  <si>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</si>
  <si>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</si>
  <si>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</si>
  <si>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</si>
  <si>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</si>
  <si>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</si>
  <si>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</si>
  <si>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</si>
  <si>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</si>
  <si>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</si>
  <si>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</si>
  <si>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</si>
  <si>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</si>
  <si>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</si>
  <si>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</si>
  <si>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</si>
  <si>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</si>
  <si>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</si>
  <si>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Challenge Electronics</t>
  </si>
  <si>
    <t>All products supplied by Challenge Electronics, to the best of our knowledge, conform to the following.</t>
  </si>
  <si>
    <t>15-7725524</t>
  </si>
  <si>
    <t>Dun &amp; Bradstreet</t>
  </si>
  <si>
    <t>95 East Jefryn Blvd; Deer Park, NY 11729</t>
  </si>
  <si>
    <t>Joshua Klyman</t>
  </si>
  <si>
    <t>jklyman@challelec.com</t>
  </si>
  <si>
    <t>16315952217</t>
  </si>
  <si>
    <t>Engineering Director</t>
  </si>
  <si>
    <t>100%</t>
  </si>
  <si>
    <t>https://challengeelectronics.com/engineering/quality-management/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</si>
</sst>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auto="1"/>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9"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9"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3" fillId="0" borderId="0"/>
    <xf numFmtId="0" fontId="90" fillId="0" borderId="0"/>
    <xf numFmtId="0" fontId="90" fillId="0" borderId="0"/>
    <xf numFmtId="164" fontId="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3" fillId="0" borderId="0"/>
    <xf numFmtId="0" fontId="3" fillId="0" borderId="0"/>
    <xf numFmtId="164" fontId="3" fillId="0" borderId="0"/>
    <xf numFmtId="0" fontId="8" fillId="0" borderId="0"/>
    <xf numFmtId="164" fontId="90" fillId="0" borderId="0"/>
    <xf numFmtId="0" fontId="55" fillId="0" borderId="0"/>
    <xf numFmtId="0" fontId="55" fillId="0" borderId="0"/>
    <xf numFmtId="164" fontId="8" fillId="0" borderId="0"/>
    <xf numFmtId="0" fontId="55" fillId="0" borderId="0"/>
    <xf numFmtId="0" fontId="8" fillId="0" borderId="0"/>
    <xf numFmtId="0" fontId="55" fillId="0" borderId="0"/>
    <xf numFmtId="0" fontId="72" fillId="0" borderId="0">
      <alignment vertical="center"/>
    </xf>
    <xf numFmtId="164" fontId="3"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3" fillId="0" borderId="0"/>
    <xf numFmtId="164" fontId="3" fillId="0" borderId="0"/>
    <xf numFmtId="0" fontId="74" fillId="0" borderId="0"/>
    <xf numFmtId="0" fontId="90" fillId="0" borderId="0"/>
    <xf numFmtId="0" fontId="11" fillId="0" borderId="0"/>
    <xf numFmtId="0" fontId="55" fillId="32" borderId="7" applyNumberFormat="0" applyFont="0" applyAlignment="0" applyProtection="0"/>
    <xf numFmtId="0" fontId="75" fillId="27" borderId="8" applyNumberFormat="0" applyAlignment="0" applyProtection="0"/>
    <xf numFmtId="9" fontId="11"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1" fillId="0" borderId="0"/>
    <xf numFmtId="0" fontId="90" fillId="0" borderId="0"/>
    <xf numFmtId="0" fontId="90" fillId="0" borderId="0"/>
    <xf numFmtId="0" fontId="90" fillId="0" borderId="0"/>
    <xf numFmtId="164" fontId="90" fillId="0" borderId="0"/>
    <xf numFmtId="0" fontId="2" fillId="0" borderId="0"/>
    <xf numFmtId="0" fontId="1" fillId="0" borderId="0"/>
  </cellStyleXfs>
  <cellXfs count="401">
    <xf numFmtId="0" fontId="0" fillId="0" borderId="0" xfId="0"/>
    <xf numFmtId="0" fontId="16" fillId="33" borderId="10" xfId="0" applyFont="1" applyFill="1" applyBorder="1" applyAlignment="1">
      <alignment horizontal="center" vertical="center"/>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2" fillId="33" borderId="0" xfId="0" applyFont="1" applyFill="1" applyAlignment="1">
      <alignment horizontal="left"/>
    </xf>
    <xf numFmtId="0" fontId="15"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2" fillId="33" borderId="29" xfId="0" applyFont="1" applyFill="1" applyBorder="1" applyAlignment="1">
      <alignment vertical="center"/>
    </xf>
    <xf numFmtId="0" fontId="31"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0"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8" fillId="0" borderId="0" xfId="0" applyFont="1" applyProtection="1">
      <protection hidden="1"/>
    </xf>
    <xf numFmtId="0" fontId="50"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80" fillId="36" borderId="19" xfId="0" applyFont="1" applyFill="1" applyBorder="1" applyAlignment="1" applyProtection="1">
      <alignment horizontal="left" vertical="center" wrapText="1"/>
      <protection hidden="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6"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11" xfId="570" applyFont="1" applyFill="1" applyBorder="1" applyAlignment="1">
      <alignment horizontal="center" vertical="top" wrapText="1"/>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2" fontId="26" fillId="33" borderId="11" xfId="570" applyNumberFormat="1" applyFont="1" applyFill="1" applyBorder="1" applyAlignment="1">
      <alignment horizontal="center" vertical="top" wrapText="1"/>
    </xf>
    <xf numFmtId="0" fontId="26" fillId="0" borderId="11" xfId="0" applyFont="1" applyBorder="1" applyAlignment="1">
      <alignment wrapText="1"/>
    </xf>
    <xf numFmtId="0" fontId="26" fillId="33" borderId="18" xfId="570" applyFont="1" applyFill="1" applyBorder="1" applyAlignment="1">
      <alignment horizontal="center" vertical="top" wrapText="1"/>
    </xf>
    <xf numFmtId="0" fontId="26" fillId="33" borderId="18" xfId="570" applyFont="1" applyFill="1" applyBorder="1" applyAlignment="1">
      <alignment horizontal="left" vertical="top" wrapText="1"/>
    </xf>
    <xf numFmtId="0" fontId="26" fillId="0" borderId="18" xfId="0" applyFont="1" applyBorder="1" applyAlignment="1">
      <alignment vertical="top" wrapText="1"/>
    </xf>
    <xf numFmtId="166" fontId="26" fillId="33" borderId="11" xfId="570" applyNumberFormat="1" applyFont="1" applyFill="1" applyBorder="1" applyAlignment="1">
      <alignment horizontal="center" vertical="top" wrapText="1"/>
    </xf>
    <xf numFmtId="0" fontId="26" fillId="0" borderId="19" xfId="0" applyFont="1" applyBorder="1" applyAlignment="1">
      <alignment vertical="top" wrapText="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26" fillId="33" borderId="19" xfId="570" applyFont="1" applyFill="1" applyBorder="1" applyAlignment="1">
      <alignment vertical="top" wrapText="1"/>
    </xf>
    <xf numFmtId="166" fontId="26" fillId="33" borderId="19" xfId="570" applyNumberFormat="1" applyFont="1" applyFill="1" applyBorder="1" applyAlignment="1">
      <alignment horizontal="center" vertical="top" wrapText="1"/>
    </xf>
    <xf numFmtId="164" fontId="26" fillId="0" borderId="19" xfId="570" applyNumberFormat="1" applyFont="1" applyBorder="1" applyAlignment="1">
      <alignment horizontal="center" vertical="top" wrapText="1"/>
    </xf>
    <xf numFmtId="0" fontId="26" fillId="0" borderId="19" xfId="570" applyFont="1" applyBorder="1" applyAlignment="1">
      <alignment vertical="top" wrapText="1"/>
    </xf>
    <xf numFmtId="0" fontId="0" fillId="0" borderId="68" xfId="0" applyBorder="1" applyAlignment="1" applyProtection="1">
      <alignment vertical="center" wrapText="1"/>
      <protection locked="0" hidden="1"/>
    </xf>
    <xf numFmtId="0" fontId="24" fillId="0" borderId="27" xfId="487" applyFont="1" applyFill="1" applyBorder="1" applyAlignment="1" applyProtection="1">
      <alignment horizontal="center"/>
      <protection hidden="1"/>
    </xf>
    <xf numFmtId="0" fontId="15" fillId="33" borderId="27" xfId="0" applyFont="1" applyFill="1" applyBorder="1" applyAlignment="1" applyProtection="1">
      <alignment horizontal="left" wrapText="1"/>
      <protection hidden="1"/>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10" fillId="33" borderId="27" xfId="0" applyFont="1" applyFill="1" applyBorder="1" applyAlignment="1" applyProtection="1">
      <alignment horizontal="center" wrapText="1"/>
      <protection hidden="1"/>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0" fontId="15" fillId="33" borderId="0" xfId="0" applyFont="1" applyFill="1" applyAlignment="1" applyProtection="1">
      <alignment horizontal="center" vertical="center" wrapText="1"/>
      <protection hidden="1"/>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84AE1DA6-F40A-4BE5-A97C-7CB5A17C1F51}"/>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2397216</xdr:colOff>
      <xdr:row>2</xdr:row>
      <xdr:rowOff>1367608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1825451</xdr:colOff>
      <xdr:row>2</xdr:row>
      <xdr:rowOff>987540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klyman@challele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klyman@challele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68"/>
      <c r="B2" s="4" t="s">
        <v>807</v>
      </c>
      <c r="C2" s="2"/>
      <c r="D2" s="159"/>
      <c r="E2" s="2"/>
      <c r="F2" s="2"/>
      <c r="G2" s="24"/>
    </row>
    <row r="3" spans="1:7">
      <c r="A3" s="368"/>
      <c r="B3" s="2" t="s">
        <v>800</v>
      </c>
      <c r="C3" s="4"/>
      <c r="D3" s="160"/>
      <c r="E3" s="2"/>
      <c r="F3" s="4"/>
      <c r="G3" s="24"/>
    </row>
    <row r="4" spans="1:7" ht="15.75">
      <c r="A4" s="368"/>
      <c r="B4" s="27" t="s">
        <v>809</v>
      </c>
      <c r="C4" s="5"/>
      <c r="D4" s="161"/>
      <c r="E4" s="2"/>
      <c r="F4" s="5"/>
      <c r="G4" s="24"/>
    </row>
    <row r="5" spans="1:7">
      <c r="A5" s="368"/>
      <c r="B5" s="26" t="s">
        <v>998</v>
      </c>
      <c r="C5" s="3"/>
      <c r="D5" s="162"/>
      <c r="E5" s="2"/>
      <c r="F5" s="3"/>
      <c r="G5" s="24"/>
    </row>
    <row r="6" spans="1:7">
      <c r="A6" s="368"/>
      <c r="B6" s="2"/>
      <c r="C6" s="2"/>
      <c r="D6" s="159"/>
      <c r="E6" s="2"/>
      <c r="F6" s="2"/>
      <c r="G6" s="24"/>
    </row>
    <row r="7" spans="1:7">
      <c r="A7" s="368"/>
      <c r="B7" s="2"/>
      <c r="C7" s="2"/>
      <c r="D7" s="159"/>
      <c r="E7" s="2"/>
      <c r="F7" s="2"/>
      <c r="G7" s="24"/>
    </row>
    <row r="8" spans="1:7">
      <c r="A8" s="368"/>
      <c r="B8" s="2"/>
      <c r="C8" s="2"/>
      <c r="D8" s="159"/>
      <c r="E8" s="2"/>
      <c r="F8" s="2"/>
      <c r="G8" s="24"/>
    </row>
    <row r="9" spans="1:7">
      <c r="A9" s="368"/>
      <c r="B9" s="371" t="s">
        <v>810</v>
      </c>
      <c r="C9" s="371"/>
      <c r="D9" s="371"/>
      <c r="E9" s="371"/>
      <c r="F9" s="371"/>
      <c r="G9" s="24"/>
    </row>
    <row r="10" spans="1:7" ht="27" customHeight="1">
      <c r="A10" s="368"/>
      <c r="B10" s="372" t="s">
        <v>423</v>
      </c>
      <c r="C10" s="372"/>
      <c r="D10" s="372"/>
      <c r="E10" s="372"/>
      <c r="F10" s="372"/>
      <c r="G10" s="24"/>
    </row>
    <row r="11" spans="1:7" ht="27" customHeight="1">
      <c r="A11" s="368"/>
      <c r="B11" s="373"/>
      <c r="C11" s="373"/>
      <c r="D11" s="373"/>
      <c r="E11" s="373"/>
      <c r="F11" s="373"/>
      <c r="G11" s="24"/>
    </row>
    <row r="12" spans="1:7">
      <c r="A12" s="368"/>
      <c r="B12" s="28" t="s">
        <v>808</v>
      </c>
      <c r="C12" s="29" t="s">
        <v>811</v>
      </c>
      <c r="D12" s="163" t="s">
        <v>812</v>
      </c>
      <c r="E12" s="29" t="s">
        <v>593</v>
      </c>
      <c r="F12" s="29" t="s">
        <v>594</v>
      </c>
      <c r="G12" s="24"/>
    </row>
    <row r="13" spans="1:7" ht="33.75">
      <c r="A13" s="368"/>
      <c r="B13" s="275">
        <v>1</v>
      </c>
      <c r="C13" s="276" t="s">
        <v>1046</v>
      </c>
      <c r="D13" s="277" t="s">
        <v>836</v>
      </c>
      <c r="E13" s="278" t="s">
        <v>813</v>
      </c>
      <c r="F13" s="278"/>
      <c r="G13" s="24"/>
    </row>
    <row r="14" spans="1:7" ht="56.25">
      <c r="A14" s="368"/>
      <c r="B14" s="275">
        <v>2</v>
      </c>
      <c r="C14" s="276" t="s">
        <v>1046</v>
      </c>
      <c r="D14" s="277" t="s">
        <v>983</v>
      </c>
      <c r="E14" s="278" t="s">
        <v>513</v>
      </c>
      <c r="F14" s="278" t="s">
        <v>514</v>
      </c>
      <c r="G14" s="24"/>
    </row>
    <row r="15" spans="1:7" ht="89.1" customHeight="1">
      <c r="A15" s="368"/>
      <c r="B15" s="374">
        <v>2.0099999999999998</v>
      </c>
      <c r="C15" s="365" t="s">
        <v>1046</v>
      </c>
      <c r="D15" s="377" t="s">
        <v>2150</v>
      </c>
      <c r="E15" s="279" t="s">
        <v>595</v>
      </c>
      <c r="F15" s="279" t="s">
        <v>598</v>
      </c>
      <c r="G15" s="24"/>
    </row>
    <row r="16" spans="1:7" ht="99" customHeight="1">
      <c r="A16" s="368"/>
      <c r="B16" s="375"/>
      <c r="C16" s="366"/>
      <c r="D16" s="378"/>
      <c r="E16" s="280"/>
      <c r="F16" s="280" t="s">
        <v>596</v>
      </c>
      <c r="G16" s="24"/>
    </row>
    <row r="17" spans="1:7" ht="63" customHeight="1">
      <c r="A17" s="368"/>
      <c r="B17" s="376"/>
      <c r="C17" s="367"/>
      <c r="D17" s="379"/>
      <c r="E17" s="276"/>
      <c r="F17" s="276" t="s">
        <v>597</v>
      </c>
      <c r="G17" s="24"/>
    </row>
    <row r="18" spans="1:7" ht="117" customHeight="1">
      <c r="A18" s="368"/>
      <c r="B18" s="374">
        <v>2.02</v>
      </c>
      <c r="C18" s="365" t="s">
        <v>1046</v>
      </c>
      <c r="D18" s="377" t="s">
        <v>2151</v>
      </c>
      <c r="E18" s="279" t="s">
        <v>424</v>
      </c>
      <c r="F18" s="279" t="s">
        <v>508</v>
      </c>
      <c r="G18" s="24"/>
    </row>
    <row r="19" spans="1:7" ht="71.099999999999994" customHeight="1">
      <c r="A19" s="368"/>
      <c r="B19" s="375"/>
      <c r="C19" s="366"/>
      <c r="D19" s="378"/>
      <c r="E19" s="280" t="s">
        <v>512</v>
      </c>
      <c r="F19" s="280" t="s">
        <v>425</v>
      </c>
      <c r="G19" s="24"/>
    </row>
    <row r="20" spans="1:7" ht="90.75" customHeight="1">
      <c r="A20" s="368"/>
      <c r="B20" s="375"/>
      <c r="C20" s="366"/>
      <c r="D20" s="378"/>
      <c r="E20" s="280"/>
      <c r="F20" s="280" t="s">
        <v>600</v>
      </c>
      <c r="G20" s="24"/>
    </row>
    <row r="21" spans="1:7" ht="74.25" customHeight="1">
      <c r="A21" s="368"/>
      <c r="B21" s="376"/>
      <c r="C21" s="367"/>
      <c r="D21" s="379"/>
      <c r="E21" s="276"/>
      <c r="F21" s="276" t="s">
        <v>599</v>
      </c>
      <c r="G21" s="24"/>
    </row>
    <row r="22" spans="1:7" ht="90" customHeight="1">
      <c r="A22" s="368"/>
      <c r="B22" s="359">
        <v>2.0299999999999998</v>
      </c>
      <c r="C22" s="359" t="s">
        <v>783</v>
      </c>
      <c r="D22" s="362" t="s">
        <v>2152</v>
      </c>
      <c r="E22" s="365" t="s">
        <v>422</v>
      </c>
      <c r="F22" s="279" t="s">
        <v>445</v>
      </c>
      <c r="G22" s="24"/>
    </row>
    <row r="23" spans="1:7" ht="109.5" customHeight="1">
      <c r="A23" s="368"/>
      <c r="B23" s="360"/>
      <c r="C23" s="360"/>
      <c r="D23" s="363"/>
      <c r="E23" s="366"/>
      <c r="F23" s="280" t="s">
        <v>784</v>
      </c>
      <c r="G23" s="24"/>
    </row>
    <row r="24" spans="1:7" ht="74.25" customHeight="1">
      <c r="A24" s="368"/>
      <c r="B24" s="361"/>
      <c r="C24" s="361"/>
      <c r="D24" s="364"/>
      <c r="E24" s="367"/>
      <c r="F24" s="276" t="s">
        <v>421</v>
      </c>
      <c r="G24" s="24"/>
    </row>
    <row r="25" spans="1:7" ht="72" customHeight="1">
      <c r="A25" s="368"/>
      <c r="B25" s="275" t="s">
        <v>443</v>
      </c>
      <c r="C25" s="276" t="s">
        <v>444</v>
      </c>
      <c r="D25" s="277" t="s">
        <v>2153</v>
      </c>
      <c r="E25" s="276" t="s">
        <v>2148</v>
      </c>
      <c r="F25" s="276" t="s">
        <v>446</v>
      </c>
      <c r="G25" s="24"/>
    </row>
    <row r="26" spans="1:7" ht="98.1" customHeight="1">
      <c r="A26" s="368"/>
      <c r="B26" s="380">
        <v>3</v>
      </c>
      <c r="C26" s="374" t="s">
        <v>66</v>
      </c>
      <c r="D26" s="377" t="s">
        <v>2154</v>
      </c>
      <c r="E26" s="365" t="s">
        <v>0</v>
      </c>
      <c r="F26" s="279" t="s">
        <v>60</v>
      </c>
      <c r="G26" s="24"/>
    </row>
    <row r="27" spans="1:7" ht="90" customHeight="1">
      <c r="A27" s="368"/>
      <c r="B27" s="381"/>
      <c r="C27" s="375"/>
      <c r="D27" s="378"/>
      <c r="E27" s="366"/>
      <c r="F27" s="280" t="s">
        <v>55</v>
      </c>
      <c r="G27" s="24"/>
    </row>
    <row r="28" spans="1:7" ht="19.350000000000001" customHeight="1">
      <c r="A28" s="368"/>
      <c r="B28" s="381"/>
      <c r="C28" s="375"/>
      <c r="D28" s="378"/>
      <c r="E28" s="366"/>
      <c r="F28" s="280" t="s">
        <v>56</v>
      </c>
      <c r="G28" s="24"/>
    </row>
    <row r="29" spans="1:7" ht="74.45" customHeight="1">
      <c r="A29" s="368"/>
      <c r="B29" s="381"/>
      <c r="C29" s="375"/>
      <c r="D29" s="378"/>
      <c r="E29" s="366"/>
      <c r="F29" s="280" t="s">
        <v>57</v>
      </c>
      <c r="G29" s="24"/>
    </row>
    <row r="30" spans="1:7" ht="62.45" customHeight="1">
      <c r="A30" s="368"/>
      <c r="B30" s="381"/>
      <c r="C30" s="375"/>
      <c r="D30" s="378"/>
      <c r="E30" s="366"/>
      <c r="F30" s="280" t="s">
        <v>58</v>
      </c>
      <c r="G30" s="24"/>
    </row>
    <row r="31" spans="1:7" ht="81" customHeight="1">
      <c r="A31" s="368"/>
      <c r="B31" s="381"/>
      <c r="C31" s="375"/>
      <c r="D31" s="378"/>
      <c r="E31" s="366"/>
      <c r="F31" s="280" t="s">
        <v>59</v>
      </c>
      <c r="G31" s="24"/>
    </row>
    <row r="32" spans="1:7" ht="48.75" customHeight="1">
      <c r="A32" s="368"/>
      <c r="B32" s="381"/>
      <c r="C32" s="375"/>
      <c r="D32" s="378"/>
      <c r="E32" s="366"/>
      <c r="F32" s="280" t="s">
        <v>62</v>
      </c>
      <c r="G32" s="24"/>
    </row>
    <row r="33" spans="1:7" ht="98.45" customHeight="1">
      <c r="A33" s="368"/>
      <c r="B33" s="381"/>
      <c r="C33" s="375"/>
      <c r="D33" s="378"/>
      <c r="E33" s="366"/>
      <c r="F33" s="280" t="s">
        <v>61</v>
      </c>
      <c r="G33" s="24"/>
    </row>
    <row r="34" spans="1:7" ht="89.1" customHeight="1">
      <c r="A34" s="368"/>
      <c r="B34" s="381"/>
      <c r="C34" s="375"/>
      <c r="D34" s="378"/>
      <c r="E34" s="366"/>
      <c r="F34" s="280" t="s">
        <v>63</v>
      </c>
      <c r="G34" s="24"/>
    </row>
    <row r="35" spans="1:7" ht="29.1" customHeight="1">
      <c r="A35" s="368"/>
      <c r="B35" s="381"/>
      <c r="C35" s="375"/>
      <c r="D35" s="378"/>
      <c r="E35" s="366"/>
      <c r="F35" s="280" t="s">
        <v>64</v>
      </c>
      <c r="G35" s="24"/>
    </row>
    <row r="36" spans="1:7" ht="147">
      <c r="A36" s="368"/>
      <c r="B36" s="382"/>
      <c r="C36" s="376"/>
      <c r="D36" s="379"/>
      <c r="E36" s="367"/>
      <c r="F36" s="282" t="s">
        <v>65</v>
      </c>
      <c r="G36" s="24"/>
    </row>
    <row r="37" spans="1:7" ht="157.5">
      <c r="A37" s="368"/>
      <c r="B37" s="281">
        <v>3.01</v>
      </c>
      <c r="C37" s="283" t="s">
        <v>66</v>
      </c>
      <c r="D37" s="277" t="s">
        <v>2155</v>
      </c>
      <c r="E37" s="284" t="s">
        <v>1282</v>
      </c>
      <c r="F37" s="285" t="s">
        <v>1384</v>
      </c>
      <c r="G37" s="24"/>
    </row>
    <row r="38" spans="1:7" ht="157.5">
      <c r="A38" s="368"/>
      <c r="B38" s="281">
        <v>3.02</v>
      </c>
      <c r="C38" s="283" t="s">
        <v>1314</v>
      </c>
      <c r="D38" s="277" t="s">
        <v>2156</v>
      </c>
      <c r="E38" s="284" t="s">
        <v>1329</v>
      </c>
      <c r="F38" s="285" t="s">
        <v>1385</v>
      </c>
      <c r="G38" s="24"/>
    </row>
    <row r="39" spans="1:7" ht="112.5">
      <c r="A39" s="368"/>
      <c r="B39" s="286">
        <v>4</v>
      </c>
      <c r="C39" s="287" t="s">
        <v>1480</v>
      </c>
      <c r="D39" s="277" t="s">
        <v>2157</v>
      </c>
      <c r="E39" s="276" t="s">
        <v>2104</v>
      </c>
      <c r="F39" s="276" t="s">
        <v>1481</v>
      </c>
      <c r="G39" s="24"/>
    </row>
    <row r="40" spans="1:7" ht="78.75">
      <c r="A40" s="368"/>
      <c r="B40" s="281">
        <v>4.01</v>
      </c>
      <c r="C40" s="287" t="s">
        <v>1480</v>
      </c>
      <c r="D40" s="277" t="s">
        <v>2159</v>
      </c>
      <c r="E40" s="276" t="s">
        <v>2116</v>
      </c>
      <c r="F40" s="276" t="s">
        <v>2120</v>
      </c>
      <c r="G40" s="24"/>
    </row>
    <row r="41" spans="1:7" ht="78.75">
      <c r="A41" s="368"/>
      <c r="B41" s="281" t="s">
        <v>2146</v>
      </c>
      <c r="C41" s="287" t="s">
        <v>1480</v>
      </c>
      <c r="D41" s="277" t="s">
        <v>2158</v>
      </c>
      <c r="E41" s="276" t="s">
        <v>2149</v>
      </c>
      <c r="F41" s="276" t="s">
        <v>2147</v>
      </c>
      <c r="G41" s="24"/>
    </row>
    <row r="42" spans="1:7" ht="78.75">
      <c r="A42" s="368"/>
      <c r="B42" s="281" t="s">
        <v>2173</v>
      </c>
      <c r="C42" s="287" t="s">
        <v>1480</v>
      </c>
      <c r="D42" s="277" t="s">
        <v>2178</v>
      </c>
      <c r="E42" s="276" t="s">
        <v>2148</v>
      </c>
      <c r="F42" s="276" t="s">
        <v>2174</v>
      </c>
      <c r="G42" s="24"/>
    </row>
    <row r="43" spans="1:7" ht="191.25">
      <c r="A43" s="368"/>
      <c r="B43" s="288">
        <v>4.0999999999999996</v>
      </c>
      <c r="C43" s="287" t="s">
        <v>2177</v>
      </c>
      <c r="D43" s="289">
        <v>42867</v>
      </c>
      <c r="E43" s="290" t="s">
        <v>2180</v>
      </c>
      <c r="F43" s="276" t="s">
        <v>2179</v>
      </c>
      <c r="G43" s="24"/>
    </row>
    <row r="44" spans="1:7" ht="112.5">
      <c r="A44" s="368"/>
      <c r="B44" s="288">
        <v>4.2</v>
      </c>
      <c r="C44" s="287" t="s">
        <v>2177</v>
      </c>
      <c r="D44" s="289">
        <v>42704</v>
      </c>
      <c r="E44" s="290" t="s">
        <v>2369</v>
      </c>
      <c r="F44" s="276" t="s">
        <v>2344</v>
      </c>
      <c r="G44" s="24"/>
    </row>
    <row r="45" spans="1:7" ht="213.75">
      <c r="A45" s="368"/>
      <c r="B45" s="291">
        <v>5</v>
      </c>
      <c r="C45" s="287" t="s">
        <v>2177</v>
      </c>
      <c r="D45" s="289">
        <v>42867</v>
      </c>
      <c r="E45" s="290" t="s">
        <v>12256</v>
      </c>
      <c r="F45" s="276" t="s">
        <v>11978</v>
      </c>
      <c r="G45" s="24"/>
    </row>
    <row r="46" spans="1:7" ht="56.25">
      <c r="A46" s="368"/>
      <c r="B46" s="288">
        <v>5.01</v>
      </c>
      <c r="C46" s="287" t="s">
        <v>2177</v>
      </c>
      <c r="D46" s="289">
        <v>42907</v>
      </c>
      <c r="E46" s="290" t="s">
        <v>14886</v>
      </c>
      <c r="F46" s="276" t="s">
        <v>11978</v>
      </c>
      <c r="G46" s="24"/>
    </row>
    <row r="47" spans="1:7" ht="101.25">
      <c r="A47" s="368"/>
      <c r="B47" s="288">
        <v>5.0999999999999996</v>
      </c>
      <c r="C47" s="287" t="s">
        <v>2177</v>
      </c>
      <c r="D47" s="289">
        <v>43070</v>
      </c>
      <c r="E47" s="290" t="s">
        <v>12456</v>
      </c>
      <c r="F47" s="276" t="s">
        <v>12457</v>
      </c>
      <c r="G47" s="24"/>
    </row>
    <row r="48" spans="1:7" ht="90">
      <c r="A48" s="368"/>
      <c r="B48" s="288">
        <v>5.1100000000000003</v>
      </c>
      <c r="C48" s="287" t="s">
        <v>12684</v>
      </c>
      <c r="D48" s="289">
        <v>43217</v>
      </c>
      <c r="E48" s="290" t="s">
        <v>12786</v>
      </c>
      <c r="F48" s="276" t="s">
        <v>12711</v>
      </c>
      <c r="G48" s="24"/>
    </row>
    <row r="49" spans="1:7" ht="90">
      <c r="A49" s="368"/>
      <c r="B49" s="288">
        <v>5.12</v>
      </c>
      <c r="C49" s="287" t="s">
        <v>12684</v>
      </c>
      <c r="D49" s="289">
        <v>43581</v>
      </c>
      <c r="E49" s="290" t="s">
        <v>12786</v>
      </c>
      <c r="F49" s="276" t="s">
        <v>13315</v>
      </c>
      <c r="G49" s="24"/>
    </row>
    <row r="50" spans="1:7" ht="112.5">
      <c r="A50" s="368"/>
      <c r="B50" s="291">
        <v>6</v>
      </c>
      <c r="C50" s="287" t="s">
        <v>12684</v>
      </c>
      <c r="D50" s="289">
        <v>43964</v>
      </c>
      <c r="E50" s="290" t="s">
        <v>13527</v>
      </c>
      <c r="F50" s="276" t="s">
        <v>13318</v>
      </c>
      <c r="G50" s="24"/>
    </row>
    <row r="51" spans="1:7" ht="56.25">
      <c r="A51" s="368"/>
      <c r="B51" s="288">
        <v>6.01</v>
      </c>
      <c r="C51" s="287" t="s">
        <v>12684</v>
      </c>
      <c r="D51" s="289">
        <v>43970</v>
      </c>
      <c r="E51" s="290" t="s">
        <v>14887</v>
      </c>
      <c r="F51" s="290" t="s">
        <v>13318</v>
      </c>
      <c r="G51" s="24"/>
    </row>
    <row r="52" spans="1:7" ht="56.25">
      <c r="A52" s="368"/>
      <c r="B52" s="288">
        <v>6.1</v>
      </c>
      <c r="C52" s="287" t="s">
        <v>12684</v>
      </c>
      <c r="D52" s="289">
        <v>44314</v>
      </c>
      <c r="E52" s="290" t="s">
        <v>14880</v>
      </c>
      <c r="F52" s="290" t="s">
        <v>14487</v>
      </c>
      <c r="G52" s="24"/>
    </row>
    <row r="53" spans="1:7" ht="56.25">
      <c r="A53" s="368"/>
      <c r="B53" s="288">
        <v>6.2</v>
      </c>
      <c r="C53" s="287" t="s">
        <v>12684</v>
      </c>
      <c r="D53" s="289">
        <v>44678</v>
      </c>
      <c r="E53" s="290" t="s">
        <v>14880</v>
      </c>
      <c r="F53" s="290" t="s">
        <v>14879</v>
      </c>
      <c r="G53" s="24"/>
    </row>
    <row r="54" spans="1:7" ht="56.25">
      <c r="A54" s="368"/>
      <c r="B54" s="288">
        <v>6.21</v>
      </c>
      <c r="C54" s="287" t="s">
        <v>12684</v>
      </c>
      <c r="D54" s="289">
        <v>44687</v>
      </c>
      <c r="E54" s="290" t="s">
        <v>14888</v>
      </c>
      <c r="F54" s="290" t="s">
        <v>14879</v>
      </c>
      <c r="G54" s="24"/>
    </row>
    <row r="55" spans="1:7" ht="56.25">
      <c r="A55" s="368"/>
      <c r="B55" s="288">
        <v>6.22</v>
      </c>
      <c r="C55" s="287" t="s">
        <v>12684</v>
      </c>
      <c r="D55" s="292">
        <v>44692</v>
      </c>
      <c r="E55" s="290" t="s">
        <v>14887</v>
      </c>
      <c r="F55" s="290" t="s">
        <v>14879</v>
      </c>
      <c r="G55" s="24"/>
    </row>
    <row r="56" spans="1:7" ht="90">
      <c r="A56" s="368"/>
      <c r="B56" s="291">
        <v>6.3</v>
      </c>
      <c r="C56" s="287" t="s">
        <v>12684</v>
      </c>
      <c r="D56" s="292">
        <v>45051</v>
      </c>
      <c r="E56" s="290" t="s">
        <v>15144</v>
      </c>
      <c r="F56" s="290" t="s">
        <v>14925</v>
      </c>
      <c r="G56" s="24"/>
    </row>
    <row r="57" spans="1:7" ht="56.25">
      <c r="A57" s="368"/>
      <c r="B57" s="288">
        <v>6.31</v>
      </c>
      <c r="C57" s="287" t="s">
        <v>12684</v>
      </c>
      <c r="D57" s="292">
        <v>45072</v>
      </c>
      <c r="E57" s="290" t="s">
        <v>15146</v>
      </c>
      <c r="F57" s="290" t="s">
        <v>14925</v>
      </c>
      <c r="G57" s="24"/>
    </row>
    <row r="58" spans="1:7" ht="56.25">
      <c r="A58" s="368"/>
      <c r="B58" s="291">
        <v>6.4</v>
      </c>
      <c r="C58" s="287" t="s">
        <v>12684</v>
      </c>
      <c r="D58" s="292">
        <v>45408</v>
      </c>
      <c r="E58" s="290" t="s">
        <v>15148</v>
      </c>
      <c r="F58" s="290" t="s">
        <v>15147</v>
      </c>
      <c r="G58" s="24"/>
    </row>
    <row r="59" spans="1:7" ht="56.25">
      <c r="A59" s="368"/>
      <c r="B59" s="291">
        <v>6.5</v>
      </c>
      <c r="C59" s="287" t="s">
        <v>12684</v>
      </c>
      <c r="D59" s="292">
        <v>45772</v>
      </c>
      <c r="E59" s="290" t="s">
        <v>15217</v>
      </c>
      <c r="F59" s="290" t="s">
        <v>15259</v>
      </c>
      <c r="G59" s="24"/>
    </row>
    <row r="60" spans="1:7" ht="90">
      <c r="A60" s="368"/>
      <c r="B60" s="291">
        <v>6.6</v>
      </c>
      <c r="C60" s="287" t="s">
        <v>12684</v>
      </c>
      <c r="D60" s="292">
        <v>46129</v>
      </c>
      <c r="E60" s="290" t="s">
        <v>15870</v>
      </c>
      <c r="F60" s="293" t="s">
        <v>15352</v>
      </c>
      <c r="G60" s="24"/>
    </row>
    <row r="61" spans="1:7" ht="13.5" thickBot="1">
      <c r="A61" s="369"/>
      <c r="B61" s="370" t="str">
        <f ca="1">OFFSET(L!$C$1,MATCH("General"&amp;"Cpy",L!$A:$A,0)-1,SL,,)</f>
        <v>© 2026 Responsible Minerals Initiative. All rights reserved.</v>
      </c>
      <c r="C61" s="370"/>
      <c r="D61" s="370"/>
      <c r="E61" s="370"/>
      <c r="F61" s="370"/>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30AC4FF-D38D-46E9-B65D-9AD3AEF8C40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84EC22E-E132-4FB2-BB08-E6F4A13AFD8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9"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3"/>
      <c r="B1" s="384"/>
      <c r="C1" s="384"/>
      <c r="D1" s="385"/>
    </row>
    <row r="2" spans="1:5" ht="71.25" customHeight="1">
      <c r="A2" s="71"/>
      <c r="B2" s="134" t="str">
        <f ca="1">OFFSET(L!$C$1,MATCH("Definitions"&amp;ADDRESS(ROW(),COLUMN(),4),L!$A:$A,0)-1,SL,,)</f>
        <v>ITEM</v>
      </c>
      <c r="C2" s="134" t="str">
        <f ca="1">OFFSET(L!$C$1,MATCH("Definitions"&amp;ADDRESS(ROW(),COLUMN(),4),L!$A:$A,0)-1,SL,,)</f>
        <v>DEFINITION</v>
      </c>
      <c r="D2" s="387"/>
      <c r="E2" s="98"/>
    </row>
    <row r="3" spans="1:5" ht="63.95" customHeight="1">
      <c r="A3" s="71"/>
      <c r="B3" s="60" t="str">
        <f ca="1">OFFSET(L!$C$1,MATCH("Definitions"&amp;ADDRESS(ROW(),COLUMN(),4),L!$A:$A,0)-1,SL,,)</f>
        <v>3TG</v>
      </c>
      <c r="C3" s="60" t="str">
        <f ca="1">OFFSET(L!$C$1,MATCH("Definitions"&amp;ADDRESS(ROW(),COLUMN(),4),L!$A:$A,0)-1,SL,,)</f>
        <v>Tantalum, tin, tungsten, gold</v>
      </c>
      <c r="D3" s="387"/>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7"/>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7"/>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7"/>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7"/>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7"/>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7"/>
      <c r="E9" s="97" t="s">
        <v>1267</v>
      </c>
    </row>
    <row r="10" spans="1:5" ht="45">
      <c r="A10" s="71"/>
      <c r="B10" s="60" t="str">
        <f ca="1">OFFSET(L!$C$1,MATCH("Definitions"&amp;ADDRESS(ROW(),COLUMN(),4),L!$A:$A,0)-1,SL,,)</f>
        <v>DRC</v>
      </c>
      <c r="C10" s="60" t="str">
        <f ca="1">OFFSET(L!$C$1,MATCH("Definitions"&amp;ADDRESS(ROW(),COLUMN(),4),L!$A:$A,0)-1,SL,,)</f>
        <v>Democratic Republic of Congo</v>
      </c>
      <c r="D10" s="387"/>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7"/>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7"/>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7"/>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7"/>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7"/>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7"/>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7"/>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7"/>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7"/>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7"/>
      <c r="E20" s="97"/>
    </row>
    <row r="21" spans="1:5" ht="15">
      <c r="A21" s="71"/>
      <c r="B21" s="60" t="str">
        <f ca="1">OFFSET(L!$C$1,MATCH("Definitions"&amp;ADDRESS(ROW(),COLUMN(),4),L!$A:$A,0)-1,SL,,)</f>
        <v>RBA</v>
      </c>
      <c r="C21" s="60" t="str">
        <f ca="1">OFFSET(L!$C$1,MATCH("Definitions"&amp;ADDRESS(ROW(),COLUMN(),4),L!$A:$A,0)-1,SL,,)</f>
        <v>Responsible Business Alliance (www.responsiblebusiness.org)</v>
      </c>
      <c r="D21" s="387"/>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7"/>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7"/>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7"/>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7"/>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7"/>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7"/>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7"/>
      <c r="E28" s="97" t="s">
        <v>1267</v>
      </c>
    </row>
    <row r="29" spans="1:5" ht="105">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7"/>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7"/>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7"/>
      <c r="E31" s="97"/>
    </row>
    <row r="32" spans="1:5" ht="15">
      <c r="A32" s="71"/>
      <c r="B32" s="386" t="str">
        <f ca="1">OFFSET(L!$C$1,MATCH("General"&amp;"Cpy",L!$A:$A,0)-1,SL,,)</f>
        <v>© 2026 Responsible Minerals Initiative. All rights reserved.</v>
      </c>
      <c r="C32" s="386"/>
      <c r="D32" s="387"/>
      <c r="E32" s="97"/>
    </row>
    <row r="33" spans="1:4" ht="13.5" thickBot="1">
      <c r="A33" s="72"/>
      <c r="B33" s="146"/>
      <c r="C33" s="146"/>
      <c r="D33" s="388"/>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AC23" sqref="AC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9"/>
      <c r="G3" s="349"/>
      <c r="H3" s="349"/>
      <c r="I3" s="145"/>
      <c r="J3" s="135" t="s">
        <v>15370</v>
      </c>
      <c r="K3" s="33"/>
      <c r="L3" s="97"/>
      <c r="P3" s="42">
        <f>MATCH($D$3,LN,0)</f>
        <v>1</v>
      </c>
    </row>
    <row r="4" spans="1:34" ht="15.75">
      <c r="A4" s="31"/>
      <c r="B4" s="348" t="str">
        <f ca="1">OFFSET(L!$C$1,MATCH("Declaration"&amp;ADDRESS(ROW(),COLUMN(),4),L!$A:$A,0)-1,SL,,)</f>
        <v>The purpose of this document is to collect sourcing information on tin, tantalum, tungsten and gold used in products</v>
      </c>
      <c r="C4" s="348"/>
      <c r="D4" s="348"/>
      <c r="E4" s="348"/>
      <c r="F4" s="348"/>
      <c r="G4" s="348"/>
      <c r="H4" s="348"/>
      <c r="I4" s="350" t="str">
        <f ca="1">OFFSET(L!$C$1,MATCH("Declaration"&amp;ADDRESS(ROW(),COLUMN(),4),L!$A:$A,0)-1,SL,,)</f>
        <v>Link to Terms &amp; Conditions</v>
      </c>
      <c r="J4" s="350"/>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51" t="str">
        <f ca="1">OFFSET(L!$C$1,MATCH("Declaration"&amp;ADDRESS(ROW(),COLUMN(),4),L!$A:$A,0)-1,SL,,)</f>
        <v>Company Information</v>
      </c>
      <c r="C7" s="351"/>
      <c r="D7" s="351"/>
      <c r="E7" s="351"/>
      <c r="F7" s="351"/>
      <c r="G7" s="351"/>
      <c r="H7" s="351"/>
      <c r="I7" s="351"/>
      <c r="J7" s="351"/>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07" t="s">
        <v>15879</v>
      </c>
      <c r="E8" s="308"/>
      <c r="F8" s="308"/>
      <c r="G8" s="308"/>
      <c r="H8" s="308"/>
      <c r="I8" s="308"/>
      <c r="J8" s="309"/>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10" t="s">
        <v>479</v>
      </c>
      <c r="E9" s="311"/>
      <c r="F9" s="311"/>
      <c r="G9" s="31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52" t="str">
        <f ca="1">OFFSET(L!$C$1,MATCH("Declaration"&amp;ADDRESS(ROW(),COLUMN(),4)&amp;LEFT($D$9,1),L!$A:$A,0)-1,SL,,)</f>
        <v>Description of Scope:</v>
      </c>
      <c r="C10" s="119"/>
      <c r="D10" s="313" t="s">
        <v>15880</v>
      </c>
      <c r="E10" s="314"/>
      <c r="F10" s="314"/>
      <c r="G10" s="314"/>
      <c r="H10" s="314"/>
      <c r="I10" s="314"/>
      <c r="J10" s="315"/>
      <c r="K10" s="33"/>
      <c r="L10" s="112"/>
      <c r="Q10" s="2"/>
      <c r="R10" s="2"/>
      <c r="S10" s="2"/>
      <c r="T10" s="2"/>
      <c r="U10" s="2"/>
      <c r="V10" s="2"/>
      <c r="W10" s="2"/>
      <c r="X10" s="2"/>
      <c r="Y10" s="2"/>
      <c r="Z10" s="2"/>
      <c r="AA10" s="2"/>
      <c r="AB10" s="2"/>
      <c r="AC10" s="2"/>
      <c r="AD10" s="2"/>
      <c r="AE10" s="2"/>
      <c r="AF10" s="2"/>
      <c r="AG10" s="2"/>
      <c r="AH10" s="2"/>
    </row>
    <row r="11" spans="1:34" ht="15.75">
      <c r="A11" s="35"/>
      <c r="B11" s="353"/>
      <c r="C11" s="119"/>
      <c r="D11" s="325" t="str">
        <f ca="1">IF(D9=Q9,OFFSET(L!$C$1,MATCH("Declaration"&amp;ADDRESS(ROW(),COLUMN(),4),L!$A:$A,0)-1,SL,,),"")</f>
        <v/>
      </c>
      <c r="E11" s="326"/>
      <c r="F11" s="326"/>
      <c r="G11" s="326"/>
      <c r="H11" s="326"/>
      <c r="I11" s="326"/>
      <c r="J11" s="327"/>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19" t="s">
        <v>15881</v>
      </c>
      <c r="E12" s="320"/>
      <c r="F12" s="320"/>
      <c r="G12" s="320"/>
      <c r="H12" s="320"/>
      <c r="I12" s="320"/>
      <c r="J12" s="321"/>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19" t="s">
        <v>15882</v>
      </c>
      <c r="E13" s="320"/>
      <c r="F13" s="320"/>
      <c r="G13" s="320"/>
      <c r="H13" s="320"/>
      <c r="I13" s="320"/>
      <c r="J13" s="321"/>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19" t="s">
        <v>15883</v>
      </c>
      <c r="E14" s="320"/>
      <c r="F14" s="320"/>
      <c r="G14" s="320"/>
      <c r="H14" s="320"/>
      <c r="I14" s="320"/>
      <c r="J14" s="321"/>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19" t="s">
        <v>15884</v>
      </c>
      <c r="E15" s="320"/>
      <c r="F15" s="320"/>
      <c r="G15" s="320"/>
      <c r="H15" s="320"/>
      <c r="I15" s="320"/>
      <c r="J15" s="321"/>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22" t="s">
        <v>15885</v>
      </c>
      <c r="E16" s="323"/>
      <c r="F16" s="323"/>
      <c r="G16" s="323"/>
      <c r="H16" s="323"/>
      <c r="I16" s="323"/>
      <c r="J16" s="324"/>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19" t="s">
        <v>15886</v>
      </c>
      <c r="E17" s="320"/>
      <c r="F17" s="320"/>
      <c r="G17" s="320"/>
      <c r="H17" s="320"/>
      <c r="I17" s="320"/>
      <c r="J17" s="321"/>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16" t="s">
        <v>15884</v>
      </c>
      <c r="E18" s="317"/>
      <c r="F18" s="317"/>
      <c r="G18" s="317"/>
      <c r="H18" s="317"/>
      <c r="I18" s="317"/>
      <c r="J18" s="318"/>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19" t="s">
        <v>15887</v>
      </c>
      <c r="E19" s="320"/>
      <c r="F19" s="320"/>
      <c r="G19" s="320"/>
      <c r="H19" s="320"/>
      <c r="I19" s="320"/>
      <c r="J19" s="321"/>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22" t="s">
        <v>15885</v>
      </c>
      <c r="E20" s="323"/>
      <c r="F20" s="323"/>
      <c r="G20" s="323"/>
      <c r="H20" s="323"/>
      <c r="I20" s="323"/>
      <c r="J20" s="324"/>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8" t="s">
        <v>15886</v>
      </c>
      <c r="E21" s="329"/>
      <c r="F21" s="329"/>
      <c r="G21" s="329"/>
      <c r="H21" s="329"/>
      <c r="I21" s="329"/>
      <c r="J21" s="330"/>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4">
        <v>46188</v>
      </c>
      <c r="E22" s="355"/>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58"/>
      <c r="E23" s="358"/>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6" t="str">
        <f ca="1">OFFSET(L!$C$1,MATCH("Declaration"&amp;ADDRESS(ROW(),COLUMN(),4),L!$A:$A,0)-1,SL,,)</f>
        <v>Answer the following questions 1 - 8 based on the declaration scope indicated above</v>
      </c>
      <c r="C24" s="356"/>
      <c r="D24" s="356"/>
      <c r="E24" s="356"/>
      <c r="F24" s="356"/>
      <c r="G24" s="356"/>
      <c r="H24" s="356"/>
      <c r="I24" s="356"/>
      <c r="J24" s="356"/>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2" t="str">
        <f ca="1">OFFSET(L!$C$1,MATCH("Declaration"&amp;ADDRESS(ROW(),COLUMN(),4),L!$A:$A,0)-1,SL,,)</f>
        <v>Answer</v>
      </c>
      <c r="E25" s="302"/>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00" t="s">
        <v>474</v>
      </c>
      <c r="E26" s="301"/>
      <c r="F26" s="11"/>
      <c r="G26" s="297"/>
      <c r="H26" s="298"/>
      <c r="I26" s="298"/>
      <c r="J26" s="299"/>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00" t="s">
        <v>473</v>
      </c>
      <c r="E27" s="301"/>
      <c r="F27" s="11"/>
      <c r="G27" s="297"/>
      <c r="H27" s="298"/>
      <c r="I27" s="298"/>
      <c r="J27" s="299"/>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00" t="s">
        <v>473</v>
      </c>
      <c r="E28" s="301"/>
      <c r="F28" s="11"/>
      <c r="G28" s="297"/>
      <c r="H28" s="298"/>
      <c r="I28" s="298"/>
      <c r="J28" s="299"/>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00" t="s">
        <v>474</v>
      </c>
      <c r="E29" s="301"/>
      <c r="F29" s="11"/>
      <c r="G29" s="297"/>
      <c r="H29" s="298"/>
      <c r="I29" s="298"/>
      <c r="J29" s="299"/>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296" t="str">
        <f ca="1">D25</f>
        <v>Answer</v>
      </c>
      <c r="E31" s="296"/>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40"/>
      <c r="E32" s="341"/>
      <c r="F32" s="44"/>
      <c r="G32" s="297"/>
      <c r="H32" s="298"/>
      <c r="I32" s="298"/>
      <c r="J32" s="299"/>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00" t="s">
        <v>473</v>
      </c>
      <c r="E33" s="301"/>
      <c r="F33" s="44"/>
      <c r="G33" s="297"/>
      <c r="H33" s="298"/>
      <c r="I33" s="298"/>
      <c r="J33" s="299"/>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00" t="s">
        <v>473</v>
      </c>
      <c r="E34" s="301"/>
      <c r="F34" s="44"/>
      <c r="G34" s="297"/>
      <c r="H34" s="298"/>
      <c r="I34" s="298"/>
      <c r="J34" s="299"/>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00"/>
      <c r="E35" s="301"/>
      <c r="F35" s="44"/>
      <c r="G35" s="297"/>
      <c r="H35" s="298"/>
      <c r="I35" s="298"/>
      <c r="J35" s="299"/>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296" t="str">
        <f ca="1">D25</f>
        <v>Answer</v>
      </c>
      <c r="E37" s="296"/>
      <c r="F37" s="17"/>
      <c r="G37" s="41" t="str">
        <f ca="1">G25</f>
        <v>Comments</v>
      </c>
      <c r="H37" s="357"/>
      <c r="I37" s="357"/>
      <c r="J37" s="357"/>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00"/>
      <c r="E38" s="301"/>
      <c r="F38" s="44"/>
      <c r="G38" s="297"/>
      <c r="H38" s="298"/>
      <c r="I38" s="298"/>
      <c r="J38" s="299"/>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00" t="s">
        <v>474</v>
      </c>
      <c r="E39" s="301"/>
      <c r="F39" s="44"/>
      <c r="G39" s="297"/>
      <c r="H39" s="298"/>
      <c r="I39" s="298"/>
      <c r="J39" s="299"/>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00" t="s">
        <v>474</v>
      </c>
      <c r="E40" s="301"/>
      <c r="F40" s="44"/>
      <c r="G40" s="297"/>
      <c r="H40" s="298"/>
      <c r="I40" s="298"/>
      <c r="J40" s="299"/>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00"/>
      <c r="E41" s="301"/>
      <c r="F41" s="44"/>
      <c r="G41" s="297"/>
      <c r="H41" s="298"/>
      <c r="I41" s="298"/>
      <c r="J41" s="299"/>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296" t="str">
        <f ca="1">D25</f>
        <v>Answer</v>
      </c>
      <c r="E43" s="296"/>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00"/>
      <c r="E44" s="301"/>
      <c r="F44" s="44"/>
      <c r="G44" s="297"/>
      <c r="H44" s="298"/>
      <c r="I44" s="298"/>
      <c r="J44" s="299"/>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00" t="s">
        <v>474</v>
      </c>
      <c r="E45" s="301"/>
      <c r="F45" s="44"/>
      <c r="G45" s="297"/>
      <c r="H45" s="298"/>
      <c r="I45" s="298"/>
      <c r="J45" s="299"/>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00" t="s">
        <v>474</v>
      </c>
      <c r="E46" s="301"/>
      <c r="F46" s="44"/>
      <c r="G46" s="297"/>
      <c r="H46" s="298"/>
      <c r="I46" s="298"/>
      <c r="J46" s="299"/>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00"/>
      <c r="E47" s="301"/>
      <c r="F47" s="44"/>
      <c r="G47" s="297"/>
      <c r="H47" s="298"/>
      <c r="I47" s="298"/>
      <c r="J47" s="299"/>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296" t="str">
        <f ca="1">D25</f>
        <v>Answer</v>
      </c>
      <c r="E49" s="29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00"/>
      <c r="E50" s="301"/>
      <c r="F50" s="44"/>
      <c r="G50" s="297"/>
      <c r="H50" s="298"/>
      <c r="I50" s="298"/>
      <c r="J50" s="299"/>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00" t="s">
        <v>474</v>
      </c>
      <c r="E51" s="301"/>
      <c r="F51" s="44"/>
      <c r="G51" s="297"/>
      <c r="H51" s="298"/>
      <c r="I51" s="298"/>
      <c r="J51" s="299"/>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00" t="s">
        <v>474</v>
      </c>
      <c r="E52" s="301"/>
      <c r="F52" s="44"/>
      <c r="G52" s="297"/>
      <c r="H52" s="298"/>
      <c r="I52" s="298"/>
      <c r="J52" s="299"/>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00"/>
      <c r="E53" s="301"/>
      <c r="F53" s="44"/>
      <c r="G53" s="297"/>
      <c r="H53" s="298"/>
      <c r="I53" s="298"/>
      <c r="J53" s="299"/>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296" t="str">
        <f ca="1">D25</f>
        <v>Answer</v>
      </c>
      <c r="E55" s="29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38"/>
      <c r="E56" s="339"/>
      <c r="F56" s="44"/>
      <c r="G56" s="297"/>
      <c r="H56" s="298"/>
      <c r="I56" s="298"/>
      <c r="J56" s="299"/>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38" t="s">
        <v>15888</v>
      </c>
      <c r="E57" s="339"/>
      <c r="F57" s="44"/>
      <c r="G57" s="297"/>
      <c r="H57" s="298"/>
      <c r="I57" s="298"/>
      <c r="J57" s="299"/>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38" t="s">
        <v>15888</v>
      </c>
      <c r="E58" s="339"/>
      <c r="F58" s="44"/>
      <c r="G58" s="297"/>
      <c r="H58" s="298"/>
      <c r="I58" s="298"/>
      <c r="J58" s="299"/>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38"/>
      <c r="E59" s="339"/>
      <c r="F59" s="44"/>
      <c r="G59" s="297"/>
      <c r="H59" s="298"/>
      <c r="I59" s="298"/>
      <c r="J59" s="299"/>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296" t="str">
        <f ca="1">D25</f>
        <v>Answer</v>
      </c>
      <c r="E61" s="296"/>
      <c r="F61" s="17"/>
      <c r="G61" s="41" t="str">
        <f ca="1">G25</f>
        <v>Comments</v>
      </c>
      <c r="H61" s="295"/>
      <c r="I61" s="295"/>
      <c r="J61" s="295"/>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40"/>
      <c r="E62" s="341"/>
      <c r="F62" s="44"/>
      <c r="G62" s="297"/>
      <c r="H62" s="298"/>
      <c r="I62" s="298"/>
      <c r="J62" s="299"/>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00" t="s">
        <v>473</v>
      </c>
      <c r="E63" s="301"/>
      <c r="F63" s="44"/>
      <c r="G63" s="297"/>
      <c r="H63" s="298"/>
      <c r="I63" s="298"/>
      <c r="J63" s="299"/>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00" t="s">
        <v>473</v>
      </c>
      <c r="E64" s="301"/>
      <c r="F64" s="44"/>
      <c r="G64" s="297"/>
      <c r="H64" s="298"/>
      <c r="I64" s="298"/>
      <c r="J64" s="299"/>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00"/>
      <c r="E65" s="301"/>
      <c r="F65" s="44"/>
      <c r="G65" s="297"/>
      <c r="H65" s="298"/>
      <c r="I65" s="298"/>
      <c r="J65" s="299"/>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296" t="str">
        <f ca="1">D25</f>
        <v>Answer</v>
      </c>
      <c r="E67" s="296"/>
      <c r="F67" s="17"/>
      <c r="G67" s="41" t="str">
        <f ca="1">G25</f>
        <v>Comments</v>
      </c>
      <c r="H67" s="295" t="str">
        <f>IF(Q75="(*)","Click here to enter smelter names","")</f>
        <v/>
      </c>
      <c r="I67" s="295"/>
      <c r="J67" s="295"/>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00"/>
      <c r="E68" s="301"/>
      <c r="F68" s="45"/>
      <c r="G68" s="297"/>
      <c r="H68" s="298"/>
      <c r="I68" s="298"/>
      <c r="J68" s="299"/>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00" t="s">
        <v>473</v>
      </c>
      <c r="E69" s="301"/>
      <c r="F69" s="45"/>
      <c r="G69" s="297"/>
      <c r="H69" s="298"/>
      <c r="I69" s="298"/>
      <c r="J69" s="299"/>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00" t="s">
        <v>473</v>
      </c>
      <c r="E70" s="301"/>
      <c r="F70" s="45"/>
      <c r="G70" s="297"/>
      <c r="H70" s="298"/>
      <c r="I70" s="298"/>
      <c r="J70" s="299"/>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00"/>
      <c r="E71" s="301"/>
      <c r="F71" s="47"/>
      <c r="G71" s="297"/>
      <c r="H71" s="298"/>
      <c r="I71" s="298"/>
      <c r="J71" s="299"/>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37" t="str">
        <f ca="1">OFFSET(L!$C$1,MATCH("Declaration"&amp;ADDRESS(ROW(),COLUMN(),4),L!$A:$A,0)-1,SL,,)</f>
        <v>Answer the Following Questions at a Company Level</v>
      </c>
      <c r="C73" s="337"/>
      <c r="D73" s="337"/>
      <c r="E73" s="337"/>
      <c r="F73" s="337"/>
      <c r="G73" s="337"/>
      <c r="H73" s="337"/>
      <c r="I73" s="337"/>
      <c r="J73" s="33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2" t="str">
        <f ca="1">D25</f>
        <v>Answer</v>
      </c>
      <c r="E74" s="302"/>
      <c r="F74" s="50"/>
      <c r="G74" s="302" t="str">
        <f ca="1">G25</f>
        <v>Comments</v>
      </c>
      <c r="H74" s="302" t="e">
        <f>HLOOKUP(SL,LT,$O74,0)</f>
        <v>#NAME?</v>
      </c>
      <c r="I74" s="302"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00" t="s">
        <v>473</v>
      </c>
      <c r="E75" s="301"/>
      <c r="F75" s="54"/>
      <c r="G75" s="297"/>
      <c r="H75" s="298"/>
      <c r="I75" s="298"/>
      <c r="J75" s="299"/>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3"/>
      <c r="H76" s="303"/>
      <c r="I76" s="303"/>
      <c r="J76" s="303"/>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00" t="s">
        <v>473</v>
      </c>
      <c r="E77" s="301"/>
      <c r="F77" s="54"/>
      <c r="G77" s="304" t="s">
        <v>15889</v>
      </c>
      <c r="H77" s="305"/>
      <c r="I77" s="305"/>
      <c r="J77" s="306"/>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00" t="s">
        <v>473</v>
      </c>
      <c r="E79" s="301"/>
      <c r="F79" s="54"/>
      <c r="G79" s="297"/>
      <c r="H79" s="298"/>
      <c r="I79" s="298"/>
      <c r="J79" s="299"/>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00" t="s">
        <v>473</v>
      </c>
      <c r="E81" s="301"/>
      <c r="F81" s="54"/>
      <c r="G81" s="297"/>
      <c r="H81" s="298"/>
      <c r="I81" s="298"/>
      <c r="J81" s="299"/>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00" t="s">
        <v>14427</v>
      </c>
      <c r="E83" s="301"/>
      <c r="F83" s="54"/>
      <c r="G83" s="297"/>
      <c r="H83" s="298"/>
      <c r="I83" s="298"/>
      <c r="J83" s="299"/>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34" t="s">
        <v>473</v>
      </c>
      <c r="E85" s="335"/>
      <c r="F85" s="54"/>
      <c r="G85" s="297"/>
      <c r="H85" s="298"/>
      <c r="I85" s="298"/>
      <c r="J85" s="299"/>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3"/>
      <c r="H86" s="303"/>
      <c r="I86" s="303"/>
      <c r="J86" s="303"/>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00" t="s">
        <v>473</v>
      </c>
      <c r="E87" s="301"/>
      <c r="F87" s="54"/>
      <c r="G87" s="297"/>
      <c r="H87" s="298"/>
      <c r="I87" s="298"/>
      <c r="J87" s="299"/>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36"/>
      <c r="H88" s="336"/>
      <c r="I88" s="336"/>
      <c r="J88" s="336"/>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00" t="s">
        <v>474</v>
      </c>
      <c r="E89" s="301"/>
      <c r="F89" s="54"/>
      <c r="G89" s="297"/>
      <c r="H89" s="298"/>
      <c r="I89" s="298"/>
      <c r="J89" s="299"/>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33" t="str">
        <f>IF(OR($D$8="",$I$3=""),"","Click here to check required fields completion")</f>
        <v/>
      </c>
      <c r="C90" s="333"/>
      <c r="D90" s="333"/>
      <c r="E90" s="333"/>
      <c r="F90" s="333"/>
      <c r="G90" s="333"/>
      <c r="H90" s="333"/>
      <c r="I90" s="333"/>
      <c r="J90" s="333"/>
      <c r="K90" s="33"/>
      <c r="L90" s="97"/>
      <c r="P90" s="2"/>
      <c r="Q90" s="2"/>
      <c r="R90" s="2"/>
      <c r="S90" s="2"/>
      <c r="T90" s="2"/>
      <c r="U90" s="2"/>
      <c r="V90" s="2"/>
      <c r="W90" s="2"/>
      <c r="X90" s="2"/>
      <c r="Y90" s="2"/>
      <c r="Z90" s="2"/>
      <c r="AA90" s="2"/>
      <c r="AB90" s="2"/>
      <c r="AC90" s="2"/>
      <c r="AD90" s="2"/>
      <c r="AE90" s="2"/>
      <c r="AF90" s="2"/>
      <c r="AG90" s="2"/>
      <c r="AH90" s="2"/>
    </row>
    <row r="91" spans="1:34" ht="15.75" thickBot="1">
      <c r="A91" s="331" t="str">
        <f ca="1">OFFSET(L!$C$1,MATCH("General"&amp;"Cpy",L!$A:$A,0)-1,SL,,)</f>
        <v>© 2026 Responsible Minerals Initiative. All rights reserved.</v>
      </c>
      <c r="B91" s="332"/>
      <c r="C91" s="332"/>
      <c r="D91" s="332"/>
      <c r="E91" s="332"/>
      <c r="F91" s="332"/>
      <c r="G91" s="332"/>
      <c r="H91" s="332"/>
      <c r="I91" s="332"/>
      <c r="J91" s="332"/>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Yes</v>
      </c>
    </row>
    <row r="101" spans="2:7" ht="15.75" hidden="1">
      <c r="B101" s="219" t="s">
        <v>2371</v>
      </c>
      <c r="D101" s="264" t="str">
        <f>IF(AND(OR($D$27="Yes",$D$27=""),OR($D$33="Yes",$D$33="")),"Unknown","")</f>
        <v>Unknown</v>
      </c>
      <c r="E101" s="264" t="str">
        <f>IF(AND(OR($D$26="Yes",$D$26=""),OR($D$32="Yes",$D$32="")),"None","")</f>
        <v/>
      </c>
      <c r="G101" s="264" t="str">
        <f>IF(OR($D$28="Yes",$D$28=""),"No","")</f>
        <v>No</v>
      </c>
    </row>
    <row r="102" spans="2:7" ht="15.75" hidden="1">
      <c r="B102" s="219" t="s">
        <v>2372</v>
      </c>
      <c r="D102" s="264" t="str">
        <f>IF(AND(OR($D$28="Yes",$D$28=""),OR($D$34="Yes",$D$34="")),"Yes","")</f>
        <v>Yes</v>
      </c>
      <c r="E102" s="264" t="str">
        <f>IF(AND(OR($D$27="Yes",$D$27=""),OR($D$33="Yes",$D$33="")),"100%","")</f>
        <v>100%</v>
      </c>
      <c r="G102" s="264" t="str">
        <f>IF(OR($D$29="Yes",$D$29=""),"Yes","")</f>
        <v/>
      </c>
    </row>
    <row r="103" spans="2:7" ht="15.75" hidden="1">
      <c r="B103" s="219" t="s">
        <v>2373</v>
      </c>
      <c r="D103" s="264" t="str">
        <f>IF(AND(OR($D$28="Yes",$D$28=""),OR($D$34="Yes",$D$34="")),"No","")</f>
        <v>No</v>
      </c>
      <c r="E103" s="264" t="str">
        <f>IF(AND(OR($D$27="Yes",$D$27=""),OR($D$33="Yes",$D$33="")),"Greater than 90%","")</f>
        <v>Greater than 90%</v>
      </c>
      <c r="G103" s="264" t="str">
        <f>IF(OR($D$29="Yes",$D$29=""),"No","")</f>
        <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6:E26"/>
    <mergeCell ref="D27:E27"/>
    <mergeCell ref="D34:E34"/>
    <mergeCell ref="D33:E33"/>
    <mergeCell ref="D49:E49"/>
    <mergeCell ref="G35:J35"/>
    <mergeCell ref="D25:E25"/>
    <mergeCell ref="D43:E43"/>
    <mergeCell ref="D44:E44"/>
    <mergeCell ref="G44:J44"/>
    <mergeCell ref="G45:J45"/>
    <mergeCell ref="G46:J46"/>
    <mergeCell ref="D47:E47"/>
    <mergeCell ref="G47:J47"/>
    <mergeCell ref="D35:E35"/>
    <mergeCell ref="G38:J38"/>
    <mergeCell ref="G41:J41"/>
    <mergeCell ref="D41:E41"/>
    <mergeCell ref="G39:J39"/>
    <mergeCell ref="D40:E40"/>
    <mergeCell ref="D39:E39"/>
    <mergeCell ref="G65:J65"/>
    <mergeCell ref="G53:J53"/>
    <mergeCell ref="D59:E59"/>
    <mergeCell ref="D56:E56"/>
    <mergeCell ref="A1:K1"/>
    <mergeCell ref="D2:J2"/>
    <mergeCell ref="B4:H4"/>
    <mergeCell ref="F3:H3"/>
    <mergeCell ref="I4:J4"/>
    <mergeCell ref="B7:J7"/>
    <mergeCell ref="B10:B11"/>
    <mergeCell ref="B6:J6"/>
    <mergeCell ref="D38:E38"/>
    <mergeCell ref="G32:J32"/>
    <mergeCell ref="G29:J29"/>
    <mergeCell ref="G27:J27"/>
    <mergeCell ref="D22:E22"/>
    <mergeCell ref="B24:J24"/>
    <mergeCell ref="D31:E31"/>
    <mergeCell ref="D37:E37"/>
    <mergeCell ref="D32:E32"/>
    <mergeCell ref="H37:J37"/>
    <mergeCell ref="D23:E23"/>
    <mergeCell ref="G33:J33"/>
    <mergeCell ref="D45:E45"/>
    <mergeCell ref="D46:E46"/>
    <mergeCell ref="D51:E51"/>
    <mergeCell ref="D52:E52"/>
    <mergeCell ref="D58:E58"/>
    <mergeCell ref="D57:E57"/>
    <mergeCell ref="D64:E64"/>
    <mergeCell ref="D50:E50"/>
    <mergeCell ref="G64:J64"/>
    <mergeCell ref="D62:E62"/>
    <mergeCell ref="D71:E71"/>
    <mergeCell ref="G75:J75"/>
    <mergeCell ref="D75:E75"/>
    <mergeCell ref="B73:J73"/>
    <mergeCell ref="D83:E83"/>
    <mergeCell ref="G89:J89"/>
    <mergeCell ref="D79:E79"/>
    <mergeCell ref="G83:J83"/>
    <mergeCell ref="G79:J79"/>
    <mergeCell ref="D77:E77"/>
    <mergeCell ref="A91:J91"/>
    <mergeCell ref="G85:J85"/>
    <mergeCell ref="B90:J90"/>
    <mergeCell ref="D81:E81"/>
    <mergeCell ref="D87:E87"/>
    <mergeCell ref="D85:E85"/>
    <mergeCell ref="D89:E89"/>
    <mergeCell ref="G86:J86"/>
    <mergeCell ref="G87:J87"/>
    <mergeCell ref="G88:J88"/>
    <mergeCell ref="G81:J81"/>
    <mergeCell ref="G74:I74"/>
    <mergeCell ref="D74:E74"/>
    <mergeCell ref="G76:J76"/>
    <mergeCell ref="G71:J71"/>
    <mergeCell ref="G77:J77"/>
    <mergeCell ref="D8:J8"/>
    <mergeCell ref="D9:G9"/>
    <mergeCell ref="D10:J10"/>
    <mergeCell ref="D18:J18"/>
    <mergeCell ref="D12:J12"/>
    <mergeCell ref="D19:J19"/>
    <mergeCell ref="D17:J17"/>
    <mergeCell ref="D14:J14"/>
    <mergeCell ref="D13:J13"/>
    <mergeCell ref="D15:J15"/>
    <mergeCell ref="D16:J16"/>
    <mergeCell ref="D11:J11"/>
    <mergeCell ref="D63:E63"/>
    <mergeCell ref="D70:E70"/>
    <mergeCell ref="D69:E69"/>
    <mergeCell ref="D20:J20"/>
    <mergeCell ref="D21:J21"/>
    <mergeCell ref="D28:E28"/>
    <mergeCell ref="D29:E29"/>
    <mergeCell ref="H67:J67"/>
    <mergeCell ref="D67:E67"/>
    <mergeCell ref="G70:J70"/>
    <mergeCell ref="G68:J68"/>
    <mergeCell ref="G69:J69"/>
    <mergeCell ref="G26:J26"/>
    <mergeCell ref="G28:J28"/>
    <mergeCell ref="G34:J34"/>
    <mergeCell ref="G52:J52"/>
    <mergeCell ref="D65:E65"/>
    <mergeCell ref="G63:J63"/>
    <mergeCell ref="G56:J56"/>
    <mergeCell ref="D61:E61"/>
    <mergeCell ref="H61:J61"/>
    <mergeCell ref="G50:J50"/>
    <mergeCell ref="G51:J51"/>
    <mergeCell ref="G40:J40"/>
    <mergeCell ref="D68:E68"/>
    <mergeCell ref="G62:J62"/>
    <mergeCell ref="G57:J57"/>
    <mergeCell ref="G58:J58"/>
    <mergeCell ref="G59:J59"/>
    <mergeCell ref="D55:E55"/>
    <mergeCell ref="D53:E53"/>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A98B91B-3D2B-495F-AA12-93062CE9B942}"/>
    <hyperlink ref="D20" r:id="rId4" xr:uid="{CA133964-FA2F-4D71-BC36-E8A7E5C15D5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85" zoomScaleNormal="85" zoomScalePageLayoutView="55" workbookViewId="0">
      <selection activeCell="C16" sqref="C16"/>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9" t="str">
        <f ca="1">OFFSET(L!$C$1,MATCH("Smelter List"&amp;ADDRESS(ROW(),COLUMN(),4),L!$A:$A,0)-1,SL,,)</f>
        <v>Link to "RMAP Conformant Smelter List"</v>
      </c>
      <c r="K2" s="390"/>
      <c r="L2" s="390"/>
      <c r="M2" s="390"/>
      <c r="N2" s="390"/>
      <c r="O2" s="390"/>
      <c r="P2" s="179"/>
      <c r="Q2" s="180"/>
      <c r="R2" s="181"/>
      <c r="S2" s="181"/>
      <c r="T2" s="181"/>
      <c r="AH2" s="140" t="s">
        <v>473</v>
      </c>
    </row>
    <row r="3" spans="1:34" s="204" customFormat="1" ht="177" customHeight="1">
      <c r="A3" s="155"/>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05"/>
      <c r="G3" s="392" t="str">
        <f ca="1">OFFSET(L!$C$1,MATCH("General"&amp;"Cpy",L!$A:$A,0)-1,SL,,)</f>
        <v>© 2026 Responsible Minerals Initiative. All rights reserved.</v>
      </c>
      <c r="H3" s="392"/>
      <c r="I3" s="393"/>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
        <v>1088</v>
      </c>
      <c r="C5" s="170" t="s">
        <v>2424</v>
      </c>
      <c r="D5" s="213"/>
      <c r="E5" s="166" t="str">
        <f ca="1">IF(ISERROR($V5),"",OFFSET('Smelter Look-up'!$D$4,$V5-4,0)&amp;"")</f>
        <v>CHINA</v>
      </c>
      <c r="F5" s="166" t="str">
        <f ca="1">IF(ISERROR($V5),"",OFFSET('Smelter Look-up'!$E$4,$V5-4,0))</f>
        <v>CID002180</v>
      </c>
      <c r="G5" s="166" t="str">
        <f ca="1">IF(C5=$X$4,IF(ISERROR($V5),"Enter smelter details","RMI"),IF(ISERROR($V5),"",OFFSET('Smelter Look-up'!$F$4,$V5-4,0)))</f>
        <v>RMI</v>
      </c>
      <c r="H5" s="167">
        <f ca="1">IF(ISERROR($V5),"",OFFSET('Smelter Look-up'!$G$4,$V5-4,0))</f>
        <v>0</v>
      </c>
      <c r="I5" s="168" t="str">
        <f ca="1">IF(ISERROR($V5),"",OFFSET('Smelter Look-up'!$H$4,$V5-4,0))</f>
        <v>Gejiu</v>
      </c>
      <c r="J5" s="168" t="str">
        <f ca="1">IF(ISERROR($V5),"",OFFSET('Smelter Look-up'!$I$4,$V5-4,0))</f>
        <v>Yunnan Sheng</v>
      </c>
      <c r="K5" s="207"/>
      <c r="L5" s="207"/>
      <c r="M5" s="207"/>
      <c r="N5" s="207"/>
      <c r="O5" s="207"/>
      <c r="P5" s="169"/>
      <c r="Q5" s="208"/>
      <c r="R5" s="166" t="str">
        <f ca="1">IF(ISERROR($V5),"",OFFSET('Smelter Look-up'!$C$4,$V5-4,0)&amp;"")</f>
        <v>Tin Smelting Branch of Yunnan Tin Co., Ltd.</v>
      </c>
      <c r="S5" s="165" t="str">
        <f ca="1">IF(B5="","",IF(ISERROR(MATCH($E5,CL,0)),"Unknown",INDIRECT("'C'!$A$"&amp;MATCH($E5,CL,0)+1)))</f>
        <v>CN</v>
      </c>
      <c r="T5" s="165" t="str">
        <f ca="1">IF(B5="","",IF(ISERROR(MATCH($J5,SorP!$B$1:$B$6261,0)),"",INDIRECT("'SorP'!$A$"&amp;MATCH($S5&amp;$J5,SorP!C:C,0))))</f>
        <v>CN-YN</v>
      </c>
      <c r="U5" s="185"/>
      <c r="V5" s="209">
        <f>IF(C5="",NA(),IF(OR(C5="Smelter not listed",C5="Smelter not yet identified"),MATCH($B5&amp;$D5,'Smelter Look-up'!$J:$J,0),MATCH($B5&amp;$C5,'Smelter Look-up'!$J:$J,0)))</f>
        <v>567</v>
      </c>
      <c r="X5" s="210">
        <f t="shared" ref="X5" ca="1" si="0">IF(AND(C5="Smelter not listed",OR(LEN(D5)=0,LEN(E5)=0)),1,0)</f>
        <v>0</v>
      </c>
      <c r="AB5" s="211" t="str">
        <f t="shared" ref="AB5" si="1">B5&amp;C5</f>
        <v>TinYunnan Xi YE</v>
      </c>
    </row>
    <row r="6" spans="1:34" s="210" customFormat="1" ht="20.100000000000001" customHeight="1">
      <c r="A6" s="245"/>
      <c r="B6" s="166" t="s">
        <v>1088</v>
      </c>
      <c r="C6" s="170" t="s">
        <v>13294</v>
      </c>
      <c r="D6" s="213"/>
      <c r="E6" s="166" t="str">
        <f ca="1">IF(ISERROR($V6),"",OFFSET('Smelter Look-up'!$D$4,$V6-4,0)&amp;"")</f>
        <v>CHINA</v>
      </c>
      <c r="F6" s="166" t="str">
        <f ca="1">IF(ISERROR($V6),"",OFFSET('Smelter Look-up'!$E$4,$V6-4,0))</f>
        <v>CID003397</v>
      </c>
      <c r="G6" s="166" t="str">
        <f ca="1">IF(C6=$X$4,IF(ISERROR($V6),"Enter smelter details","RMI"),IF(ISERROR($V6),"",OFFSET('Smelter Look-up'!$F$4,$V6-4,0)))</f>
        <v>RMI</v>
      </c>
      <c r="H6" s="167">
        <f ca="1">IF(ISERROR($V6),"",OFFSET('Smelter Look-up'!$G$4,$V6-4,0))</f>
        <v>0</v>
      </c>
      <c r="I6" s="168" t="str">
        <f ca="1">IF(ISERROR($V6),"",OFFSET('Smelter Look-up'!$H$4,$V6-4,0))</f>
        <v>Gejiu</v>
      </c>
      <c r="J6" s="168" t="str">
        <f ca="1">IF(ISERROR($V6),"",OFFSET('Smelter Look-up'!$I$4,$V6-4,0))</f>
        <v>Yunnan Sheng</v>
      </c>
      <c r="K6" s="207"/>
      <c r="L6" s="207"/>
      <c r="M6" s="207"/>
      <c r="N6" s="207"/>
      <c r="O6" s="207"/>
      <c r="P6" s="169"/>
      <c r="Q6" s="208"/>
      <c r="R6" s="166" t="str">
        <f ca="1">IF(ISERROR($V6),"",OFFSET('Smelter Look-up'!$C$4,$V6-4,0)&amp;"")</f>
        <v>Yunnan Yunfan Non-ferrous Metals Co., Ltd.</v>
      </c>
      <c r="S6" s="165" t="str">
        <f t="shared" ref="S6:S37" ca="1" si="2">IF(B6="","",IF(ISERROR(MATCH($E6,CL,0)),"Unknown",INDIRECT("'C'!$A$"&amp;MATCH($E6,CL,0)+1)))</f>
        <v>CN</v>
      </c>
      <c r="T6" s="165" t="str">
        <f ca="1">IF(B6="","",IF(ISERROR(MATCH($J6,SorP!$B$1:$B$6261,0)),"",INDIRECT("'SorP'!$A$"&amp;MATCH($S6&amp;$J6,SorP!C:C,0))))</f>
        <v>CN-YN</v>
      </c>
      <c r="U6" s="185"/>
      <c r="V6" s="209">
        <f>IF(C6="",NA(),IF(OR(C6="Smelter not listed",C6="Smelter not yet identified"),MATCH($B6&amp;$D6,'Smelter Look-up'!$J:$J,0),MATCH($B6&amp;$C6,'Smelter Look-up'!$J:$J,0)))</f>
        <v>568</v>
      </c>
      <c r="X6" s="210">
        <f t="shared" ref="X6:X37" ca="1" si="3">IF(AND(C6="Smelter not listed",OR(LEN(D6)=0,LEN(E6)=0)),1,0)</f>
        <v>0</v>
      </c>
      <c r="AB6" s="211" t="str">
        <f t="shared" ref="AB6:AB37" si="4">B6&amp;C6</f>
        <v>TinYunnan Yunfan Non-ferrous Metals Co., Ltd.</v>
      </c>
    </row>
    <row r="7" spans="1:34" s="210" customFormat="1" ht="20.100000000000001" customHeight="1">
      <c r="A7" s="245"/>
      <c r="B7" s="166" t="s">
        <v>1088</v>
      </c>
      <c r="C7" s="170" t="s">
        <v>1682</v>
      </c>
      <c r="D7" s="213"/>
      <c r="E7" s="166" t="str">
        <f ca="1">IF(ISERROR($V7),"",OFFSET('Smelter Look-up'!$D$4,$V7-4,0)&amp;"")</f>
        <v>UNITED STATES OF AMERICA</v>
      </c>
      <c r="F7" s="166" t="str">
        <f ca="1">IF(ISERROR($V7),"",OFFSET('Smelter Look-up'!$E$4,$V7-4,0))</f>
        <v>CID000292</v>
      </c>
      <c r="G7" s="166" t="str">
        <f ca="1">IF(C7=$X$4,IF(ISERROR($V7),"Enter smelter details","RMI"),IF(ISERROR($V7),"",OFFSET('Smelter Look-up'!$F$4,$V7-4,0)))</f>
        <v>RMI</v>
      </c>
      <c r="H7" s="167">
        <f ca="1">IF(ISERROR($V7),"",OFFSET('Smelter Look-up'!$G$4,$V7-4,0))</f>
        <v>0</v>
      </c>
      <c r="I7" s="168" t="str">
        <f ca="1">IF(ISERROR($V7),"",OFFSET('Smelter Look-up'!$H$4,$V7-4,0))</f>
        <v>Altoona</v>
      </c>
      <c r="J7" s="168" t="str">
        <f ca="1">IF(ISERROR($V7),"",OFFSET('Smelter Look-up'!$I$4,$V7-4,0))</f>
        <v>Pennsylvania</v>
      </c>
      <c r="K7" s="207"/>
      <c r="L7" s="207"/>
      <c r="M7" s="207"/>
      <c r="N7" s="207"/>
      <c r="O7" s="207"/>
      <c r="P7" s="169"/>
      <c r="Q7" s="208"/>
      <c r="R7" s="166" t="str">
        <f ca="1">IF(ISERROR($V7),"",OFFSET('Smelter Look-up'!$C$4,$V7-4,0)&amp;"")</f>
        <v>Alpha Assembly Solutions Inc</v>
      </c>
      <c r="S7" s="165" t="str">
        <f t="shared" ca="1" si="2"/>
        <v>US</v>
      </c>
      <c r="T7" s="165" t="str">
        <f ca="1">IF(B7="","",IF(ISERROR(MATCH($J7,SorP!$B$1:$B$6261,0)),"",INDIRECT("'SorP'!$A$"&amp;MATCH($S7&amp;$J7,SorP!C:C,0))))</f>
        <v>US-PA</v>
      </c>
      <c r="U7" s="185"/>
      <c r="V7" s="209">
        <f>IF(C7="",NA(),IF(OR(C7="Smelter not listed",C7="Smelter not yet identified"),MATCH($B7&amp;$D7,'Smelter Look-up'!$J:$J,0),MATCH($B7&amp;$C7,'Smelter Look-up'!$J:$J,0)))</f>
        <v>419</v>
      </c>
      <c r="X7" s="210">
        <f t="shared" ca="1" si="3"/>
        <v>0</v>
      </c>
      <c r="AB7" s="211" t="str">
        <f t="shared" si="4"/>
        <v>TinAlpha Metals</v>
      </c>
    </row>
    <row r="8" spans="1:34" s="210" customFormat="1" ht="20.100000000000001" customHeight="1">
      <c r="A8" s="245"/>
      <c r="B8" s="166" t="s">
        <v>1088</v>
      </c>
      <c r="C8" s="170" t="s">
        <v>14867</v>
      </c>
      <c r="D8" s="213"/>
      <c r="E8" s="166" t="str">
        <f ca="1">IF(ISERROR($V8),"",OFFSET('Smelter Look-up'!$D$4,$V8-4,0)&amp;"")</f>
        <v>CHINA</v>
      </c>
      <c r="F8" s="166" t="str">
        <f ca="1">IF(ISERROR($V8),"",OFFSET('Smelter Look-up'!$E$4,$V8-4,0))</f>
        <v>CID002180</v>
      </c>
      <c r="G8" s="166" t="str">
        <f ca="1">IF(C8=$X$4,IF(ISERROR($V8),"Enter smelter details","RMI"),IF(ISERROR($V8),"",OFFSET('Smelter Look-up'!$F$4,$V8-4,0)))</f>
        <v>RMI</v>
      </c>
      <c r="H8" s="167">
        <f ca="1">IF(ISERROR($V8),"",OFFSET('Smelter Look-up'!$G$4,$V8-4,0))</f>
        <v>0</v>
      </c>
      <c r="I8" s="168" t="str">
        <f ca="1">IF(ISERROR($V8),"",OFFSET('Smelter Look-up'!$H$4,$V8-4,0))</f>
        <v>Gejiu</v>
      </c>
      <c r="J8" s="168" t="str">
        <f ca="1">IF(ISERROR($V8),"",OFFSET('Smelter Look-up'!$I$4,$V8-4,0))</f>
        <v>Yunnan Sheng</v>
      </c>
      <c r="K8" s="207"/>
      <c r="L8" s="207"/>
      <c r="M8" s="207"/>
      <c r="N8" s="207"/>
      <c r="O8" s="207"/>
      <c r="P8" s="169"/>
      <c r="Q8" s="208"/>
      <c r="R8" s="166" t="str">
        <f ca="1">IF(ISERROR($V8),"",OFFSET('Smelter Look-up'!$C$4,$V8-4,0)&amp;"")</f>
        <v>Tin Smelting Branch of Yunnan Tin Co., Ltd.</v>
      </c>
      <c r="S8" s="165" t="str">
        <f t="shared" ca="1" si="2"/>
        <v>CN</v>
      </c>
      <c r="T8" s="165" t="str">
        <f ca="1">IF(B8="","",IF(ISERROR(MATCH($J8,SorP!$B$1:$B$6261,0)),"",INDIRECT("'SorP'!$A$"&amp;MATCH($S8&amp;$J8,SorP!C:C,0))))</f>
        <v>CN-YN</v>
      </c>
      <c r="U8" s="185"/>
      <c r="V8" s="209">
        <f>IF(C8="",NA(),IF(OR(C8="Smelter not listed",C8="Smelter not yet identified"),MATCH($B8&amp;$D8,'Smelter Look-up'!$J:$J,0),MATCH($B8&amp;$C8,'Smelter Look-up'!$J:$J,0)))</f>
        <v>546</v>
      </c>
      <c r="X8" s="210">
        <f t="shared" ca="1" si="3"/>
        <v>0</v>
      </c>
      <c r="AB8" s="211" t="str">
        <f t="shared" si="4"/>
        <v>TinTin Smelting Branch of Yunnan Tin Co., Ltd.</v>
      </c>
    </row>
    <row r="9" spans="1:34" s="210" customFormat="1" ht="20.100000000000001" customHeight="1">
      <c r="A9" s="245"/>
      <c r="B9" s="166" t="s">
        <v>1088</v>
      </c>
      <c r="C9" s="170" t="s">
        <v>14874</v>
      </c>
      <c r="D9" s="213"/>
      <c r="E9" s="166" t="str">
        <f ca="1">IF(ISERROR($V9),"",OFFSET('Smelter Look-up'!$D$4,$V9-4,0)&amp;"")</f>
        <v>CHINA</v>
      </c>
      <c r="F9" s="166" t="str">
        <f ca="1">IF(ISERROR($V9),"",OFFSET('Smelter Look-up'!$E$4,$V9-4,0))</f>
        <v>CID002180</v>
      </c>
      <c r="G9" s="166" t="str">
        <f ca="1">IF(C9=$X$4,IF(ISERROR($V9),"Enter smelter details","RMI"),IF(ISERROR($V9),"",OFFSET('Smelter Look-up'!$F$4,$V9-4,0)))</f>
        <v>RMI</v>
      </c>
      <c r="H9" s="167">
        <f ca="1">IF(ISERROR($V9),"",OFFSET('Smelter Look-up'!$G$4,$V9-4,0))</f>
        <v>0</v>
      </c>
      <c r="I9" s="168" t="str">
        <f ca="1">IF(ISERROR($V9),"",OFFSET('Smelter Look-up'!$H$4,$V9-4,0))</f>
        <v>Gejiu</v>
      </c>
      <c r="J9" s="168" t="str">
        <f ca="1">IF(ISERROR($V9),"",OFFSET('Smelter Look-up'!$I$4,$V9-4,0))</f>
        <v>Yunnan Sheng</v>
      </c>
      <c r="K9" s="207"/>
      <c r="L9" s="207"/>
      <c r="M9" s="207"/>
      <c r="N9" s="207"/>
      <c r="O9" s="207"/>
      <c r="P9" s="169"/>
      <c r="Q9" s="208"/>
      <c r="R9" s="166" t="str">
        <f ca="1">IF(ISERROR($V9),"",OFFSET('Smelter Look-up'!$C$4,$V9-4,0)&amp;"")</f>
        <v>Tin Smelting Branch of Yunnan Tin Co., Ltd.</v>
      </c>
      <c r="S9" s="165" t="str">
        <f t="shared" ca="1" si="2"/>
        <v>CN</v>
      </c>
      <c r="T9" s="165" t="str">
        <f ca="1">IF(B9="","",IF(ISERROR(MATCH($J9,SorP!$B$1:$B$6261,0)),"",INDIRECT("'SorP'!$A$"&amp;MATCH($S9&amp;$J9,SorP!C:C,0))))</f>
        <v>CN-YN</v>
      </c>
      <c r="U9" s="185"/>
      <c r="V9" s="209">
        <f>IF(C9="",NA(),IF(OR(C9="Smelter not listed",C9="Smelter not yet identified"),MATCH($B9&amp;$D9,'Smelter Look-up'!$J:$J,0),MATCH($B9&amp;$C9,'Smelter Look-up'!$J:$J,0)))</f>
        <v>571</v>
      </c>
      <c r="X9" s="210">
        <f t="shared" ca="1" si="3"/>
        <v>0</v>
      </c>
      <c r="AB9" s="211" t="str">
        <f t="shared" si="4"/>
        <v>Tin云南锡业股份有限公司锡业分公司</v>
      </c>
    </row>
    <row r="10" spans="1:34" s="210" customFormat="1" ht="20.100000000000001" customHeight="1">
      <c r="A10" s="245"/>
      <c r="B10" s="166" t="s">
        <v>1088</v>
      </c>
      <c r="C10" s="294" t="s">
        <v>13294</v>
      </c>
      <c r="D10" s="213"/>
      <c r="E10" s="166" t="str">
        <f ca="1">IF(ISERROR($V10),"",OFFSET('Smelter Look-up'!$D$4,$V10-4,0)&amp;"")</f>
        <v>CHINA</v>
      </c>
      <c r="F10" s="166" t="str">
        <f ca="1">IF(ISERROR($V10),"",OFFSET('Smelter Look-up'!$E$4,$V10-4,0))</f>
        <v>CID003397</v>
      </c>
      <c r="G10" s="166" t="str">
        <f ca="1">IF(C10=$X$4,IF(ISERROR($V10),"Enter smelter details","RMI"),IF(ISERROR($V10),"",OFFSET('Smelter Look-up'!$F$4,$V10-4,0)))</f>
        <v>RMI</v>
      </c>
      <c r="H10" s="167">
        <f ca="1">IF(ISERROR($V10),"",OFFSET('Smelter Look-up'!$G$4,$V10-4,0))</f>
        <v>0</v>
      </c>
      <c r="I10" s="168" t="str">
        <f ca="1">IF(ISERROR($V10),"",OFFSET('Smelter Look-up'!$H$4,$V10-4,0))</f>
        <v>Gejiu</v>
      </c>
      <c r="J10" s="168" t="str">
        <f ca="1">IF(ISERROR($V10),"",OFFSET('Smelter Look-up'!$I$4,$V10-4,0))</f>
        <v>Yunnan Sheng</v>
      </c>
      <c r="K10" s="207"/>
      <c r="L10" s="207"/>
      <c r="M10" s="207"/>
      <c r="N10" s="207"/>
      <c r="O10" s="207"/>
      <c r="P10" s="169"/>
      <c r="Q10" s="208"/>
      <c r="R10" s="166" t="str">
        <f ca="1">IF(ISERROR($V10),"",OFFSET('Smelter Look-up'!$C$4,$V10-4,0)&amp;"")</f>
        <v>Yunnan Yunfan Non-ferrous Metals Co., Ltd.</v>
      </c>
      <c r="S10" s="165" t="str">
        <f t="shared" ca="1" si="2"/>
        <v>CN</v>
      </c>
      <c r="T10" s="165" t="str">
        <f ca="1">IF(B10="","",IF(ISERROR(MATCH($J10,SorP!$B$1:$B$6261,0)),"",INDIRECT("'SorP'!$A$"&amp;MATCH($S10&amp;$J10,SorP!C:C,0))))</f>
        <v>CN-YN</v>
      </c>
      <c r="U10" s="185"/>
      <c r="V10" s="209">
        <f>IF(C10="",NA(),IF(OR(C10="Smelter not listed",C10="Smelter not yet identified"),MATCH($B10&amp;$D10,'Smelter Look-up'!$J:$J,0),MATCH($B10&amp;$C10,'Smelter Look-up'!$J:$J,0)))</f>
        <v>568</v>
      </c>
      <c r="X10" s="210">
        <f t="shared" ca="1" si="3"/>
        <v>0</v>
      </c>
      <c r="AB10" s="211" t="str">
        <f t="shared" si="4"/>
        <v>TinYunnan Yunfan Non-ferrous Metals Co., Ltd.</v>
      </c>
    </row>
    <row r="11" spans="1:34" s="210" customFormat="1" ht="20.100000000000001" customHeight="1">
      <c r="A11" s="245"/>
      <c r="B11" s="166" t="s">
        <v>1088</v>
      </c>
      <c r="C11" s="170" t="s">
        <v>2235</v>
      </c>
      <c r="D11" s="213"/>
      <c r="E11" s="166" t="str">
        <f ca="1">IF(ISERROR($V11),"",OFFSET('Smelter Look-up'!$D$4,$V11-4,0)&amp;"")</f>
        <v>CHINA</v>
      </c>
      <c r="F11" s="166" t="str">
        <f ca="1">IF(ISERROR($V11),"",OFFSET('Smelter Look-up'!$E$4,$V11-4,0))</f>
        <v>CID002180</v>
      </c>
      <c r="G11" s="166" t="str">
        <f ca="1">IF(C11=$X$4,IF(ISERROR($V11),"Enter smelter details","RMI"),IF(ISERROR($V11),"",OFFSET('Smelter Look-up'!$F$4,$V11-4,0)))</f>
        <v>RMI</v>
      </c>
      <c r="H11" s="167">
        <f ca="1">IF(ISERROR($V11),"",OFFSET('Smelter Look-up'!$G$4,$V11-4,0))</f>
        <v>0</v>
      </c>
      <c r="I11" s="168" t="str">
        <f ca="1">IF(ISERROR($V11),"",OFFSET('Smelter Look-up'!$H$4,$V11-4,0))</f>
        <v>Gejiu</v>
      </c>
      <c r="J11" s="168" t="str">
        <f ca="1">IF(ISERROR($V11),"",OFFSET('Smelter Look-up'!$I$4,$V11-4,0))</f>
        <v>Yunnan Sheng</v>
      </c>
      <c r="K11" s="207"/>
      <c r="L11" s="207"/>
      <c r="M11" s="207"/>
      <c r="N11" s="207"/>
      <c r="O11" s="207"/>
      <c r="P11" s="169"/>
      <c r="Q11" s="208"/>
      <c r="R11" s="166" t="str">
        <f ca="1">IF(ISERROR($V11),"",OFFSET('Smelter Look-up'!$C$4,$V11-4,0)&amp;"")</f>
        <v>Tin Smelting Branch of Yunnan Tin Co., Ltd.</v>
      </c>
      <c r="S11" s="165" t="str">
        <f t="shared" ca="1" si="2"/>
        <v>CN</v>
      </c>
      <c r="T11" s="165" t="str">
        <f ca="1">IF(B11="","",IF(ISERROR(MATCH($J11,SorP!$B$1:$B$6261,0)),"",INDIRECT("'SorP'!$A$"&amp;MATCH($S11&amp;$J11,SorP!C:C,0))))</f>
        <v>CN-YN</v>
      </c>
      <c r="U11" s="185"/>
      <c r="V11" s="209">
        <f>IF(C11="",NA(),IF(OR(C11="Smelter not listed",C11="Smelter not yet identified"),MATCH($B11&amp;$D11,'Smelter Look-up'!$J:$J,0),MATCH($B11&amp;$C11,'Smelter Look-up'!$J:$J,0)))</f>
        <v>564</v>
      </c>
      <c r="X11" s="210">
        <f t="shared" ca="1" si="3"/>
        <v>0</v>
      </c>
      <c r="AB11" s="211" t="str">
        <f t="shared" si="4"/>
        <v>TinYunnan Tin Company Limited</v>
      </c>
    </row>
    <row r="12" spans="1:34" s="210" customFormat="1" ht="20.100000000000001" customHeight="1">
      <c r="A12" s="245"/>
      <c r="B12" s="166" t="s">
        <v>1088</v>
      </c>
      <c r="C12" s="170" t="s">
        <v>2131</v>
      </c>
      <c r="D12" s="213"/>
      <c r="E12" s="166" t="str">
        <f ca="1">IF(ISERROR($V12),"",OFFSET('Smelter Look-up'!$D$4,$V12-4,0)&amp;"")</f>
        <v>UNITED STATES OF AMERICA</v>
      </c>
      <c r="F12" s="166" t="str">
        <f ca="1">IF(ISERROR($V12),"",OFFSET('Smelter Look-up'!$E$4,$V12-4,0))</f>
        <v>CID000292</v>
      </c>
      <c r="G12" s="166" t="str">
        <f ca="1">IF(C12=$X$4,IF(ISERROR($V12),"Enter smelter details","RMI"),IF(ISERROR($V12),"",OFFSET('Smelter Look-up'!$F$4,$V12-4,0)))</f>
        <v>RMI</v>
      </c>
      <c r="H12" s="167">
        <f ca="1">IF(ISERROR($V12),"",OFFSET('Smelter Look-up'!$G$4,$V12-4,0))</f>
        <v>0</v>
      </c>
      <c r="I12" s="168" t="str">
        <f ca="1">IF(ISERROR($V12),"",OFFSET('Smelter Look-up'!$H$4,$V12-4,0))</f>
        <v>Altoona</v>
      </c>
      <c r="J12" s="168" t="str">
        <f ca="1">IF(ISERROR($V12),"",OFFSET('Smelter Look-up'!$I$4,$V12-4,0))</f>
        <v>Pennsylvania</v>
      </c>
      <c r="K12" s="207"/>
      <c r="L12" s="207"/>
      <c r="M12" s="207"/>
      <c r="N12" s="207"/>
      <c r="O12" s="207"/>
      <c r="P12" s="169"/>
      <c r="Q12" s="208"/>
      <c r="R12" s="166" t="str">
        <f ca="1">IF(ISERROR($V12),"",OFFSET('Smelter Look-up'!$C$4,$V12-4,0)&amp;"")</f>
        <v>Alpha Assembly Solutions Inc</v>
      </c>
      <c r="S12" s="165" t="str">
        <f t="shared" ca="1" si="2"/>
        <v>US</v>
      </c>
      <c r="T12" s="165" t="str">
        <f ca="1">IF(B12="","",IF(ISERROR(MATCH($J12,SorP!$B$1:$B$6261,0)),"",INDIRECT("'SorP'!$A$"&amp;MATCH($S12&amp;$J12,SorP!C:C,0))))</f>
        <v>US-PA</v>
      </c>
      <c r="U12" s="185"/>
      <c r="V12" s="209">
        <f>IF(C12="",NA(),IF(OR(C12="Smelter not listed",C12="Smelter not yet identified"),MATCH($B12&amp;$D12,'Smelter Look-up'!$J:$J,0),MATCH($B12&amp;$C12,'Smelter Look-up'!$J:$J,0)))</f>
        <v>420</v>
      </c>
      <c r="X12" s="210">
        <f t="shared" ca="1" si="3"/>
        <v>0</v>
      </c>
      <c r="AB12" s="211" t="str">
        <f t="shared" si="4"/>
        <v>TinAlpha Metals Korea Ltd.</v>
      </c>
    </row>
    <row r="13" spans="1:34" s="210" customFormat="1" ht="20.100000000000001" customHeight="1">
      <c r="A13" s="245"/>
      <c r="B13" s="166" t="s">
        <v>1088</v>
      </c>
      <c r="C13" s="170" t="s">
        <v>989</v>
      </c>
      <c r="D13" s="213"/>
      <c r="E13" s="166" t="str">
        <f ca="1">IF(ISERROR($V13),"",OFFSET('Smelter Look-up'!$D$4,$V13-4,0)&amp;"")</f>
        <v>THAILAND</v>
      </c>
      <c r="F13" s="166" t="str">
        <f ca="1">IF(ISERROR($V13),"",OFFSET('Smelter Look-up'!$E$4,$V13-4,0))</f>
        <v>CID001898</v>
      </c>
      <c r="G13" s="166" t="str">
        <f ca="1">IF(C13=$X$4,IF(ISERROR($V13),"Enter smelter details","RMI"),IF(ISERROR($V13),"",OFFSET('Smelter Look-up'!$F$4,$V13-4,0)))</f>
        <v>RMI</v>
      </c>
      <c r="H13" s="167">
        <f ca="1">IF(ISERROR($V13),"",OFFSET('Smelter Look-up'!$G$4,$V13-4,0))</f>
        <v>0</v>
      </c>
      <c r="I13" s="168" t="str">
        <f ca="1">IF(ISERROR($V13),"",OFFSET('Smelter Look-up'!$H$4,$V13-4,0))</f>
        <v>Amphur Muang</v>
      </c>
      <c r="J13" s="168" t="str">
        <f ca="1">IF(ISERROR($V13),"",OFFSET('Smelter Look-up'!$I$4,$V13-4,0))</f>
        <v>Phuket</v>
      </c>
      <c r="K13" s="207"/>
      <c r="L13" s="207"/>
      <c r="M13" s="207"/>
      <c r="N13" s="207"/>
      <c r="O13" s="207"/>
      <c r="P13" s="169"/>
      <c r="Q13" s="208"/>
      <c r="R13" s="166" t="str">
        <f ca="1">IF(ISERROR($V13),"",OFFSET('Smelter Look-up'!$C$4,$V13-4,0)&amp;"")</f>
        <v>Thaisarco</v>
      </c>
      <c r="S13" s="165" t="str">
        <f t="shared" ca="1" si="2"/>
        <v>TH</v>
      </c>
      <c r="T13" s="165" t="str">
        <f ca="1">IF(B13="","",IF(ISERROR(MATCH($J13,SorP!$B$1:$B$6261,0)),"",INDIRECT("'SorP'!$A$"&amp;MATCH($S13&amp;$J13,SorP!C:C,0))))</f>
        <v>TH-83</v>
      </c>
      <c r="U13" s="185"/>
      <c r="V13" s="209">
        <f>IF(C13="",NA(),IF(OR(C13="Smelter not listed",C13="Smelter not yet identified"),MATCH($B13&amp;$D13,'Smelter Look-up'!$J:$J,0),MATCH($B13&amp;$C13,'Smelter Look-up'!$J:$J,0)))</f>
        <v>543</v>
      </c>
      <c r="X13" s="210">
        <f t="shared" ca="1" si="3"/>
        <v>0</v>
      </c>
      <c r="AB13" s="211" t="str">
        <f t="shared" si="4"/>
        <v>TinThaisarco</v>
      </c>
    </row>
    <row r="14" spans="1:34" s="210" customFormat="1" ht="20.100000000000001" customHeight="1">
      <c r="A14" s="245"/>
      <c r="B14" s="166" t="s">
        <v>1088</v>
      </c>
      <c r="C14" s="170" t="s">
        <v>12706</v>
      </c>
      <c r="D14" s="213"/>
      <c r="E14" s="166" t="str">
        <f ca="1">IF(ISERROR($V14),"",OFFSET('Smelter Look-up'!$D$4,$V14-4,0)&amp;"")</f>
        <v>CHINA</v>
      </c>
      <c r="F14" s="166" t="str">
        <f ca="1">IF(ISERROR($V14),"",OFFSET('Smelter Look-up'!$E$4,$V14-4,0))</f>
        <v>CID001231</v>
      </c>
      <c r="G14" s="166" t="str">
        <f ca="1">IF(C14=$X$4,IF(ISERROR($V14),"Enter smelter details","RMI"),IF(ISERROR($V14),"",OFFSET('Smelter Look-up'!$F$4,$V14-4,0)))</f>
        <v>RMI</v>
      </c>
      <c r="H14" s="167">
        <f ca="1">IF(ISERROR($V14),"",OFFSET('Smelter Look-up'!$G$4,$V14-4,0))</f>
        <v>0</v>
      </c>
      <c r="I14" s="168" t="str">
        <f ca="1">IF(ISERROR($V14),"",OFFSET('Smelter Look-up'!$H$4,$V14-4,0))</f>
        <v>Ganzhou</v>
      </c>
      <c r="J14" s="168" t="str">
        <f ca="1">IF(ISERROR($V14),"",OFFSET('Smelter Look-up'!$I$4,$V14-4,0))</f>
        <v>Jiangxi Sheng</v>
      </c>
      <c r="K14" s="207"/>
      <c r="L14" s="207"/>
      <c r="M14" s="207"/>
      <c r="N14" s="207"/>
      <c r="O14" s="207"/>
      <c r="P14" s="169"/>
      <c r="Q14" s="208"/>
      <c r="R14" s="166" t="str">
        <f ca="1">IF(ISERROR($V14),"",OFFSET('Smelter Look-up'!$C$4,$V14-4,0)&amp;"")</f>
        <v>Jiangxi New Nanshan Technology Ltd.</v>
      </c>
      <c r="S14" s="165" t="str">
        <f t="shared" ca="1" si="2"/>
        <v>CN</v>
      </c>
      <c r="T14" s="165" t="str">
        <f ca="1">IF(B14="","",IF(ISERROR(MATCH($J14,SorP!$B$1:$B$6261,0)),"",INDIRECT("'SorP'!$A$"&amp;MATCH($S14&amp;$J14,SorP!C:C,0))))</f>
        <v>CN-JX</v>
      </c>
      <c r="U14" s="185"/>
      <c r="V14" s="209">
        <f>IF(C14="",NA(),IF(OR(C14="Smelter not listed",C14="Smelter not yet identified"),MATCH($B14&amp;$D14,'Smelter Look-up'!$J:$J,0),MATCH($B14&amp;$C14,'Smelter Look-up'!$J:$J,0)))</f>
        <v>481</v>
      </c>
      <c r="X14" s="210">
        <f t="shared" ca="1" si="3"/>
        <v>0</v>
      </c>
      <c r="AB14" s="211" t="str">
        <f t="shared" si="4"/>
        <v>TinJiangxi New Nanshan Technology Ltd.</v>
      </c>
    </row>
    <row r="15" spans="1:34" s="210" customFormat="1" ht="20.100000000000001" customHeight="1">
      <c r="A15" s="245"/>
      <c r="B15" s="166" t="s">
        <v>1088</v>
      </c>
      <c r="C15" s="170" t="s">
        <v>2418</v>
      </c>
      <c r="D15" s="213"/>
      <c r="E15" s="166" t="str">
        <f ca="1">IF(ISERROR($V15),"",OFFSET('Smelter Look-up'!$D$4,$V15-4,0)&amp;"")</f>
        <v>CHINA</v>
      </c>
      <c r="F15" s="166" t="str">
        <f ca="1">IF(ISERROR($V15),"",OFFSET('Smelter Look-up'!$E$4,$V15-4,0))</f>
        <v>CID003116</v>
      </c>
      <c r="G15" s="166" t="str">
        <f ca="1">IF(C15=$X$4,IF(ISERROR($V15),"Enter smelter details","RMI"),IF(ISERROR($V15),"",OFFSET('Smelter Look-up'!$F$4,$V15-4,0)))</f>
        <v>RMI</v>
      </c>
      <c r="H15" s="167">
        <f ca="1">IF(ISERROR($V15),"",OFFSET('Smelter Look-up'!$G$4,$V15-4,0))</f>
        <v>0</v>
      </c>
      <c r="I15" s="168" t="str">
        <f ca="1">IF(ISERROR($V15),"",OFFSET('Smelter Look-up'!$H$4,$V15-4,0))</f>
        <v>Chaozhou</v>
      </c>
      <c r="J15" s="168" t="str">
        <f ca="1">IF(ISERROR($V15),"",OFFSET('Smelter Look-up'!$I$4,$V15-4,0))</f>
        <v>Guangdong Sheng</v>
      </c>
      <c r="K15" s="207"/>
      <c r="L15" s="207"/>
      <c r="M15" s="207"/>
      <c r="N15" s="207"/>
      <c r="O15" s="207"/>
      <c r="P15" s="169"/>
      <c r="Q15" s="208"/>
      <c r="R15" s="166" t="str">
        <f ca="1">IF(ISERROR($V15),"",OFFSET('Smelter Look-up'!$C$4,$V15-4,0)&amp;"")</f>
        <v>Guangdong Hanhe Non-Ferrous Metal Co., Ltd.</v>
      </c>
      <c r="S15" s="165" t="str">
        <f t="shared" ca="1" si="2"/>
        <v>CN</v>
      </c>
      <c r="T15" s="165" t="str">
        <f ca="1">IF(B15="","",IF(ISERROR(MATCH($J15,SorP!$B$1:$B$6261,0)),"",INDIRECT("'SorP'!$A$"&amp;MATCH($S15&amp;$J15,SorP!C:C,0))))</f>
        <v>CN-GD</v>
      </c>
      <c r="U15" s="185"/>
      <c r="V15" s="209">
        <f>IF(C15="",NA(),IF(OR(C15="Smelter not listed",C15="Smelter not yet identified"),MATCH($B15&amp;$D15,'Smelter Look-up'!$J:$J,0),MATCH($B15&amp;$C15,'Smelter Look-up'!$J:$J,0)))</f>
        <v>475</v>
      </c>
      <c r="X15" s="210">
        <f t="shared" ca="1" si="3"/>
        <v>0</v>
      </c>
      <c r="AB15" s="211" t="str">
        <f t="shared" si="4"/>
        <v>TinGuangdong Hanhe Non-Ferrous Metal Co., Ltd.</v>
      </c>
    </row>
    <row r="16" spans="1:34" s="210" customFormat="1" ht="20.100000000000001" customHeight="1">
      <c r="A16" s="245"/>
      <c r="B16" s="166" t="s">
        <v>1088</v>
      </c>
      <c r="C16" s="170" t="s">
        <v>13288</v>
      </c>
      <c r="D16" s="213"/>
      <c r="E16" s="166" t="str">
        <f ca="1">IF(ISERROR($V16),"",OFFSET('Smelter Look-up'!$D$4,$V16-4,0)&amp;"")</f>
        <v>INDONESIA</v>
      </c>
      <c r="F16" s="166" t="str">
        <f ca="1">IF(ISERROR($V16),"",OFFSET('Smelter Look-up'!$E$4,$V16-4,0))</f>
        <v>CID001482</v>
      </c>
      <c r="G16" s="166" t="str">
        <f ca="1">IF(C16=$X$4,IF(ISERROR($V16),"Enter smelter details","RMI"),IF(ISERROR($V16),"",OFFSET('Smelter Look-up'!$F$4,$V16-4,0)))</f>
        <v>RMI</v>
      </c>
      <c r="H16" s="167">
        <f ca="1">IF(ISERROR($V16),"",OFFSET('Smelter Look-up'!$G$4,$V16-4,0))</f>
        <v>0</v>
      </c>
      <c r="I16" s="168" t="str">
        <f ca="1">IF(ISERROR($V16),"",OFFSET('Smelter Look-up'!$H$4,$V16-4,0))</f>
        <v>Mentok</v>
      </c>
      <c r="J16" s="168" t="str">
        <f ca="1">IF(ISERROR($V16),"",OFFSET('Smelter Look-up'!$I$4,$V16-4,0))</f>
        <v>Kepulauan Bangka Belitung</v>
      </c>
      <c r="K16" s="207"/>
      <c r="L16" s="207"/>
      <c r="M16" s="207"/>
      <c r="N16" s="207"/>
      <c r="O16" s="207"/>
      <c r="P16" s="169"/>
      <c r="Q16" s="208"/>
      <c r="R16" s="166" t="str">
        <f ca="1">IF(ISERROR($V16),"",OFFSET('Smelter Look-up'!$C$4,$V16-4,0)&amp;"")</f>
        <v>PT Timah Tbk Mentok</v>
      </c>
      <c r="S16" s="165" t="str">
        <f t="shared" ca="1" si="2"/>
        <v>ID</v>
      </c>
      <c r="T16" s="165" t="str">
        <f ca="1">IF(B16="","",IF(ISERROR(MATCH($J16,SorP!$B$1:$B$6261,0)),"",INDIRECT("'SorP'!$A$"&amp;MATCH($S16&amp;$J16,SorP!C:C,0))))</f>
        <v>ID-BB</v>
      </c>
      <c r="U16" s="185"/>
      <c r="V16" s="209">
        <f>IF(C16="",NA(),IF(OR(C16="Smelter not listed",C16="Smelter not yet identified"),MATCH($B16&amp;$D16,'Smelter Look-up'!$J:$J,0),MATCH($B16&amp;$C16,'Smelter Look-up'!$J:$J,0)))</f>
        <v>532</v>
      </c>
      <c r="X16" s="210">
        <f t="shared" ca="1" si="3"/>
        <v>0</v>
      </c>
      <c r="AB16" s="211" t="str">
        <f t="shared" si="4"/>
        <v>TinPT Timah Tbk Mentok</v>
      </c>
    </row>
    <row r="17" spans="1:28" s="210" customFormat="1" ht="20.100000000000001" customHeight="1">
      <c r="A17" s="245"/>
      <c r="B17" s="166" t="s">
        <v>1088</v>
      </c>
      <c r="C17" s="170" t="s">
        <v>15186</v>
      </c>
      <c r="D17" s="213"/>
      <c r="E17" s="166" t="str">
        <f ca="1">IF(ISERROR($V17),"",OFFSET('Smelter Look-up'!$D$4,$V17-4,0)&amp;"")</f>
        <v>MALAYSIA</v>
      </c>
      <c r="F17" s="166" t="str">
        <f ca="1">IF(ISERROR($V17),"",OFFSET('Smelter Look-up'!$E$4,$V17-4,0))</f>
        <v>CID004434</v>
      </c>
      <c r="G17" s="166" t="str">
        <f ca="1">IF(C17=$X$4,IF(ISERROR($V17),"Enter smelter details","RMI"),IF(ISERROR($V17),"",OFFSET('Smelter Look-up'!$F$4,$V17-4,0)))</f>
        <v>RMI</v>
      </c>
      <c r="H17" s="167">
        <f ca="1">IF(ISERROR($V17),"",OFFSET('Smelter Look-up'!$G$4,$V17-4,0))</f>
        <v>0</v>
      </c>
      <c r="I17" s="168" t="str">
        <f ca="1">IF(ISERROR($V17),"",OFFSET('Smelter Look-up'!$H$4,$V17-4,0))</f>
        <v>Port Klang</v>
      </c>
      <c r="J17" s="168" t="str">
        <f ca="1">IF(ISERROR($V17),"",OFFSET('Smelter Look-up'!$I$4,$V17-4,0))</f>
        <v>Selangor</v>
      </c>
      <c r="K17" s="207"/>
      <c r="L17" s="207"/>
      <c r="M17" s="207"/>
      <c r="N17" s="207"/>
      <c r="O17" s="207"/>
      <c r="P17" s="169"/>
      <c r="Q17" s="208"/>
      <c r="R17" s="166" t="str">
        <f ca="1">IF(ISERROR($V17),"",OFFSET('Smelter Look-up'!$C$4,$V17-4,0)&amp;"")</f>
        <v>Malaysia Smelting Corporation Berhad (Port Klang)</v>
      </c>
      <c r="S17" s="165" t="str">
        <f t="shared" ca="1" si="2"/>
        <v>MY</v>
      </c>
      <c r="T17" s="165" t="str">
        <f ca="1">IF(B17="","",IF(ISERROR(MATCH($J17,SorP!$B$1:$B$6261,0)),"",INDIRECT("'SorP'!$A$"&amp;MATCH($S17&amp;$J17,SorP!C:C,0))))</f>
        <v>MY-10</v>
      </c>
      <c r="U17" s="185"/>
      <c r="V17" s="209">
        <f>IF(C17="",NA(),IF(OR(C17="Smelter not listed",C17="Smelter not yet identified"),MATCH($B17&amp;$D17,'Smelter Look-up'!$J:$J,0),MATCH($B17&amp;$C17,'Smelter Look-up'!$J:$J,0)))</f>
        <v>491</v>
      </c>
      <c r="X17" s="210">
        <f t="shared" ca="1" si="3"/>
        <v>0</v>
      </c>
      <c r="AB17" s="211" t="str">
        <f t="shared" si="4"/>
        <v>TinMalaysia Smelting Corporation Berhad (Port Klang)</v>
      </c>
    </row>
    <row r="18" spans="1:28" s="210" customFormat="1" ht="20.100000000000001" customHeight="1">
      <c r="A18" s="165"/>
      <c r="B18" s="166" t="s">
        <v>1088</v>
      </c>
      <c r="C18" s="170" t="s">
        <v>2134</v>
      </c>
      <c r="D18" s="213"/>
      <c r="E18" s="166" t="str">
        <f ca="1">IF(ISERROR($V18),"",OFFSET('Smelter Look-up'!$D$4,$V18-4,0)&amp;"")</f>
        <v>CHINA</v>
      </c>
      <c r="F18" s="166" t="str">
        <f ca="1">IF(ISERROR($V18),"",OFFSET('Smelter Look-up'!$E$4,$V18-4,0))</f>
        <v>CID001070</v>
      </c>
      <c r="G18" s="166" t="str">
        <f ca="1">IF(C18=$X$4,IF(ISERROR($V18),"Enter smelter details","RMI"),IF(ISERROR($V18),"",OFFSET('Smelter Look-up'!$F$4,$V18-4,0)))</f>
        <v>RMI</v>
      </c>
      <c r="H18" s="167">
        <f ca="1">IF(ISERROR($V18),"",OFFSET('Smelter Look-up'!$G$4,$V18-4,0))</f>
        <v>0</v>
      </c>
      <c r="I18" s="168" t="str">
        <f ca="1">IF(ISERROR($V18),"",OFFSET('Smelter Look-up'!$H$4,$V18-4,0))</f>
        <v>Laibin</v>
      </c>
      <c r="J18" s="168" t="str">
        <f ca="1">IF(ISERROR($V18),"",OFFSET('Smelter Look-up'!$I$4,$V18-4,0))</f>
        <v>Guangxi Zhuangzu Zizhiqu</v>
      </c>
      <c r="K18" s="207"/>
      <c r="L18" s="207"/>
      <c r="M18" s="207"/>
      <c r="N18" s="207"/>
      <c r="O18" s="207"/>
      <c r="P18" s="169"/>
      <c r="Q18" s="208"/>
      <c r="R18" s="166" t="str">
        <f ca="1">IF(ISERROR($V18),"",OFFSET('Smelter Look-up'!$C$4,$V18-4,0)&amp;"")</f>
        <v>China Tin Group Co., Ltd.</v>
      </c>
      <c r="S18" s="165" t="str">
        <f t="shared" ca="1" si="2"/>
        <v>CN</v>
      </c>
      <c r="T18" s="165" t="str">
        <f ca="1">IF(B18="","",IF(ISERROR(MATCH($J18,SorP!$B$1:$B$6261,0)),"",INDIRECT("'SorP'!$A$"&amp;MATCH($S18&amp;$J18,SorP!C:C,0))))</f>
        <v>CN-GX</v>
      </c>
      <c r="U18" s="185"/>
      <c r="V18" s="209">
        <f>IF(C18="",NA(),IF(OR(C18="Smelter not listed",C18="Smelter not yet identified"),MATCH($B18&amp;$D18,'Smelter Look-up'!$J:$J,0),MATCH($B18&amp;$C18,'Smelter Look-up'!$J:$J,0)))</f>
        <v>432</v>
      </c>
      <c r="X18" s="210">
        <f t="shared" ca="1" si="3"/>
        <v>0</v>
      </c>
      <c r="AB18" s="211" t="str">
        <f t="shared" si="4"/>
        <v>TinChina Tin Lai Ben Smelter Co., Ltd.</v>
      </c>
    </row>
    <row r="19" spans="1:28" s="210" customFormat="1" ht="30" customHeight="1">
      <c r="A19" s="165"/>
      <c r="B19" s="166" t="s">
        <v>1087</v>
      </c>
      <c r="C19" s="170" t="s">
        <v>1605</v>
      </c>
      <c r="D19" s="213"/>
      <c r="E19" s="166" t="str">
        <f ca="1">IF(ISERROR($V19),"",OFFSET('Smelter Look-up'!$D$4,$V19-4,0)&amp;"")</f>
        <v>CHINA</v>
      </c>
      <c r="F19" s="166" t="str">
        <f ca="1">IF(ISERROR($V19),"",OFFSET('Smelter Look-up'!$E$4,$V19-4,0))</f>
        <v>CID001916</v>
      </c>
      <c r="G19" s="166" t="str">
        <f ca="1">IF(C19=$X$4,IF(ISERROR($V19),"Enter smelter details","RMI"),IF(ISERROR($V19),"",OFFSET('Smelter Look-up'!$F$4,$V19-4,0)))</f>
        <v>RMI</v>
      </c>
      <c r="H19" s="167">
        <f ca="1">IF(ISERROR($V19),"",OFFSET('Smelter Look-up'!$G$4,$V19-4,0))</f>
        <v>0</v>
      </c>
      <c r="I19" s="168" t="str">
        <f ca="1">IF(ISERROR($V19),"",OFFSET('Smelter Look-up'!$H$4,$V19-4,0))</f>
        <v>Laizhou</v>
      </c>
      <c r="J19" s="168" t="str">
        <f ca="1">IF(ISERROR($V19),"",OFFSET('Smelter Look-up'!$I$4,$V19-4,0))</f>
        <v>Shandong Sheng</v>
      </c>
      <c r="K19" s="207"/>
      <c r="L19" s="207"/>
      <c r="M19" s="207"/>
      <c r="N19" s="207"/>
      <c r="O19" s="207"/>
      <c r="P19" s="169"/>
      <c r="Q19" s="208"/>
      <c r="R19" s="166" t="str">
        <f ca="1">IF(ISERROR($V19),"",OFFSET('Smelter Look-up'!$C$4,$V19-4,0)&amp;"")</f>
        <v>Shandong Gold Smelting Co., Ltd.</v>
      </c>
      <c r="S19" s="165" t="str">
        <f t="shared" ca="1" si="2"/>
        <v>CN</v>
      </c>
      <c r="T19" s="165" t="str">
        <f ca="1">IF(B19="","",IF(ISERROR(MATCH($J19,SorP!$B$1:$B$6261,0)),"",INDIRECT("'SorP'!$A$"&amp;MATCH($S19&amp;$J19,SorP!C:C,0))))</f>
        <v>CN-SD</v>
      </c>
      <c r="U19" s="185"/>
      <c r="V19" s="209">
        <f>IF(C19="",NA(),IF(OR(C19="Smelter not listed",C19="Smelter not yet identified"),MATCH($B19&amp;$D19,'Smelter Look-up'!$J:$J,0),MATCH($B19&amp;$C19,'Smelter Look-up'!$J:$J,0)))</f>
        <v>262</v>
      </c>
      <c r="X19" s="210">
        <f t="shared" ca="1" si="3"/>
        <v>0</v>
      </c>
      <c r="AB19" s="211" t="str">
        <f t="shared" si="4"/>
        <v>GoldShandong Gold Mine(Laizhou) Smelter Co., Ltd.</v>
      </c>
    </row>
    <row r="20" spans="1:28" s="210" customFormat="1" ht="33.75" customHeight="1">
      <c r="A20" s="165"/>
      <c r="B20" s="166" t="s">
        <v>1087</v>
      </c>
      <c r="C20" s="170" t="s">
        <v>2050</v>
      </c>
      <c r="D20" s="213"/>
      <c r="E20" s="166" t="str">
        <f ca="1">IF(ISERROR($V20),"",OFFSET('Smelter Look-up'!$D$4,$V20-4,0)&amp;"")</f>
        <v>JAPAN</v>
      </c>
      <c r="F20" s="166" t="str">
        <f ca="1">IF(ISERROR($V20),"",OFFSET('Smelter Look-up'!$E$4,$V20-4,0))</f>
        <v>CID000019</v>
      </c>
      <c r="G20" s="166" t="str">
        <f ca="1">IF(C20=$X$4,IF(ISERROR($V20),"Enter smelter details","RMI"),IF(ISERROR($V20),"",OFFSET('Smelter Look-up'!$F$4,$V20-4,0)))</f>
        <v>RMI</v>
      </c>
      <c r="H20" s="167">
        <f ca="1">IF(ISERROR($V20),"",OFFSET('Smelter Look-up'!$G$4,$V20-4,0))</f>
        <v>0</v>
      </c>
      <c r="I20" s="168" t="str">
        <f ca="1">IF(ISERROR($V20),"",OFFSET('Smelter Look-up'!$H$4,$V20-4,0))</f>
        <v>Fuchu</v>
      </c>
      <c r="J20" s="168" t="str">
        <f ca="1">IF(ISERROR($V20),"",OFFSET('Smelter Look-up'!$I$4,$V20-4,0))</f>
        <v>Tokyo</v>
      </c>
      <c r="K20" s="207"/>
      <c r="L20" s="207"/>
      <c r="M20" s="207"/>
      <c r="N20" s="207"/>
      <c r="O20" s="207"/>
      <c r="P20" s="169"/>
      <c r="Q20" s="208"/>
      <c r="R20" s="166" t="str">
        <f ca="1">IF(ISERROR($V20),"",OFFSET('Smelter Look-up'!$C$4,$V20-4,0)&amp;"")</f>
        <v>Aida Chemical Industries Co., Ltd.</v>
      </c>
      <c r="S20" s="165" t="str">
        <f t="shared" ca="1" si="2"/>
        <v>JP</v>
      </c>
      <c r="T20" s="165" t="str">
        <f ca="1">IF(B20="","",IF(ISERROR(MATCH($J20,SorP!$B$1:$B$6261,0)),"",INDIRECT("'SorP'!$A$"&amp;MATCH($S20&amp;$J20,SorP!C:C,0))))</f>
        <v>JP-13</v>
      </c>
      <c r="U20" s="185"/>
      <c r="V20" s="209">
        <f>IF(C20="",NA(),IF(OR(C20="Smelter not listed",C20="Smelter not yet identified"),MATCH($B20&amp;$D20,'Smelter Look-up'!$J:$J,0),MATCH($B20&amp;$C20,'Smelter Look-up'!$J:$J,0)))</f>
        <v>15</v>
      </c>
      <c r="X20" s="210">
        <f t="shared" ca="1" si="3"/>
        <v>0</v>
      </c>
      <c r="AB20" s="211" t="str">
        <f t="shared" si="4"/>
        <v>GoldAida Chemical Industries Co., Ltd.</v>
      </c>
    </row>
    <row r="21" spans="1:28" s="210" customFormat="1" ht="76.5">
      <c r="A21" s="165"/>
      <c r="B21" s="166" t="s">
        <v>1087</v>
      </c>
      <c r="C21" s="170" t="s">
        <v>14492</v>
      </c>
      <c r="D21" s="213"/>
      <c r="E21" s="166" t="str">
        <f ca="1">IF(ISERROR($V21),"",OFFSET('Smelter Look-up'!$D$4,$V21-4,0)&amp;"")</f>
        <v>CHINA</v>
      </c>
      <c r="F21" s="166" t="str">
        <f ca="1">IF(ISERROR($V21),"",OFFSET('Smelter Look-up'!$E$4,$V21-4,0))</f>
        <v>CID001916</v>
      </c>
      <c r="G21" s="166" t="str">
        <f ca="1">IF(C21=$X$4,IF(ISERROR($V21),"Enter smelter details","RMI"),IF(ISERROR($V21),"",OFFSET('Smelter Look-up'!$F$4,$V21-4,0)))</f>
        <v>RMI</v>
      </c>
      <c r="H21" s="167">
        <f ca="1">IF(ISERROR($V21),"",OFFSET('Smelter Look-up'!$G$4,$V21-4,0))</f>
        <v>0</v>
      </c>
      <c r="I21" s="168" t="str">
        <f ca="1">IF(ISERROR($V21),"",OFFSET('Smelter Look-up'!$H$4,$V21-4,0))</f>
        <v>Laizhou</v>
      </c>
      <c r="J21" s="168" t="str">
        <f ca="1">IF(ISERROR($V21),"",OFFSET('Smelter Look-up'!$I$4,$V21-4,0))</f>
        <v>Shandong Sheng</v>
      </c>
      <c r="K21" s="207"/>
      <c r="L21" s="207"/>
      <c r="M21" s="207"/>
      <c r="N21" s="207"/>
      <c r="O21" s="207"/>
      <c r="P21" s="169"/>
      <c r="Q21" s="208"/>
      <c r="R21" s="166" t="str">
        <f ca="1">IF(ISERROR($V21),"",OFFSET('Smelter Look-up'!$C$4,$V21-4,0)&amp;"")</f>
        <v>Shandong Gold Smelting Co., Ltd.</v>
      </c>
      <c r="S21" s="165" t="str">
        <f t="shared" ca="1" si="2"/>
        <v>CN</v>
      </c>
      <c r="T21" s="165" t="str">
        <f ca="1">IF(B21="","",IF(ISERROR(MATCH($J21,SorP!$B$1:$B$6261,0)),"",INDIRECT("'SorP'!$A$"&amp;MATCH($S21&amp;$J21,SorP!C:C,0))))</f>
        <v>CN-SD</v>
      </c>
      <c r="U21" s="185"/>
      <c r="V21" s="209">
        <f>IF(C21="",NA(),IF(OR(C21="Smelter not listed",C21="Smelter not yet identified"),MATCH($B21&amp;$D21,'Smelter Look-up'!$J:$J,0),MATCH($B21&amp;$C21,'Smelter Look-up'!$J:$J,0)))</f>
        <v>263</v>
      </c>
      <c r="X21" s="210">
        <f t="shared" ca="1" si="3"/>
        <v>0</v>
      </c>
      <c r="AB21" s="211" t="str">
        <f t="shared" si="4"/>
        <v>GoldShandong Gold Smelting Co., Ltd.</v>
      </c>
    </row>
    <row r="22" spans="1:28" s="210" customFormat="1" ht="20.25">
      <c r="A22" s="165"/>
      <c r="B22" s="166"/>
      <c r="C22" s="170"/>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E9457A2-D211-415D-B0F0-623A0BCF542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9 C11: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4" t="str">
        <f ca="1">OFFSET(L!$C$1,MATCH("Checker"&amp;ADDRESS(ROW(),COLUMN(),4),L!$A:$A,0)-1,SL,,)</f>
        <v>To ensure all required fields have been populated before submitting to your customers review form for any line items highlighted in red</v>
      </c>
      <c r="B1" s="394"/>
      <c r="C1" s="394"/>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Challenge Electronics</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All products supplied by Challenge Electronics, to the best of our knowledge, conform to the following.</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Joshua Klyman</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jklyman@challelec.com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16315952217</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Joshua Klyman</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jklyman@challelec.com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46188</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https://challengeelectronics.com/engineering/quality-management/</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6" t="str">
        <f ca="1">OFFSET(L!$C$1,MATCH("Product List"&amp;ADDRESS(ROW(),COLUMN(),4),L!$A:$A,0)-1,SL,,)</f>
        <v>Completion required only if reporting level "Product (or List of Products)" selected on the 'Declaration' worksheet.</v>
      </c>
      <c r="B1" s="397"/>
      <c r="C1" s="397"/>
      <c r="D1" s="397"/>
      <c r="E1" s="397"/>
      <c r="F1" s="397"/>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5" t="s">
        <v>858</v>
      </c>
      <c r="C4" s="395"/>
      <c r="D4" s="395"/>
      <c r="E4" s="395"/>
      <c r="F4" s="395"/>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8" t="str">
        <f ca="1">OFFSET(L!$C$1,MATCH("General"&amp;"Cpy",L!$A:$A,0)-1,SL,,)</f>
        <v>© 2026 Responsible Minerals Initiative. All rights reserved.</v>
      </c>
      <c r="C2006" s="398"/>
      <c r="D2006" s="398"/>
      <c r="E2006" s="398"/>
      <c r="F2006" s="398"/>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8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56.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85.2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42.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13.7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45">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57">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7"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Jason Li</cp:lastModifiedBy>
  <cp:lastPrinted>2015-04-21T20:47:43Z</cp:lastPrinted>
  <dcterms:created xsi:type="dcterms:W3CDTF">2010-06-21T21:00:23Z</dcterms:created>
  <dcterms:modified xsi:type="dcterms:W3CDTF">2026-06-16T14:35:49Z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