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autoCompressPictures="0"/>
  <mc:AlternateContent xmlns:mc="http://schemas.openxmlformats.org/markup-compatibility/2006">
    <mc:Choice Requires="x15">
      <x15ac:absPath xmlns:x15ac="http://schemas.microsoft.com/office/spreadsheetml/2010/11/ac" url="E:\CHALLENGE ELECTRONICS\ENGINEERING\REPORTS\COMPLIANCE\CMRT\"/>
    </mc:Choice>
  </mc:AlternateContent>
  <xr:revisionPtr revIDLastSave="0" documentId="8_{092B91E6-43B9-4A32-8DCB-ABD5E6799328}" xr6:coauthVersionLast="43" xr6:coauthVersionMax="43" xr10:uidLastSave="{00000000-0000-0000-0000-000000000000}"/>
  <workbookProtection workbookPassword="E31B" lockStructure="1"/>
  <bookViews>
    <workbookView xWindow="-55545" yWindow="2040" windowWidth="19185" windowHeight="10395"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c r="B50" i="6"/>
  <c r="G50" i="6" s="1"/>
  <c r="H14" i="6"/>
  <c r="H61" i="4"/>
  <c r="B86" i="4"/>
  <c r="B23" i="6" l="1"/>
  <c r="B48" i="6" s="1"/>
  <c r="B3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3" i="6"/>
  <c r="C10" i="6"/>
  <c r="C8" i="6"/>
  <c r="C12" i="6"/>
  <c r="C7" i="6"/>
  <c r="C11" i="6"/>
  <c r="C5" i="6"/>
  <c r="B38" i="6"/>
  <c r="B2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B104" i="5"/>
  <c r="B101" i="5"/>
  <c r="C89" i="5"/>
  <c r="B88" i="5"/>
  <c r="B85" i="5"/>
  <c r="B74" i="5"/>
  <c r="B69" i="5"/>
  <c r="C68" i="5"/>
  <c r="C66" i="5"/>
  <c r="C61" i="5"/>
  <c r="B60" i="5"/>
  <c r="C58" i="5"/>
  <c r="C54" i="5"/>
  <c r="C53" i="5"/>
  <c r="B106" i="5"/>
  <c r="C100" i="5"/>
  <c r="C94" i="5"/>
  <c r="B83" i="5"/>
  <c r="B82" i="5"/>
  <c r="C80" i="5"/>
  <c r="C77" i="5"/>
  <c r="C73" i="5"/>
  <c r="B71" i="5"/>
  <c r="C70" i="5"/>
  <c r="B66" i="5"/>
  <c r="C64" i="5"/>
  <c r="B62" i="5"/>
  <c r="B61" i="5"/>
  <c r="C59" i="5"/>
  <c r="B58" i="5"/>
  <c r="C56" i="5"/>
  <c r="B54" i="5"/>
  <c r="B53" i="5"/>
  <c r="C105" i="5"/>
  <c r="C86" i="5"/>
  <c r="C84" i="5"/>
  <c r="C78" i="5"/>
  <c r="B76" i="5"/>
  <c r="B72" i="5"/>
  <c r="B67" i="5"/>
  <c r="B64" i="5"/>
  <c r="C63" i="5"/>
  <c r="B59" i="5"/>
  <c r="C57" i="5"/>
  <c r="B56" i="5"/>
  <c r="B5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21" i="6"/>
  <c r="H21" i="6" s="1"/>
  <c r="B26" i="6"/>
  <c r="G26" i="6" s="1"/>
  <c r="B36" i="6"/>
  <c r="B46" i="6"/>
  <c r="G46" i="6" s="1"/>
  <c r="G31" i="6"/>
  <c r="H22" i="6"/>
  <c r="D22" i="6" s="1"/>
  <c r="G47" i="6"/>
  <c r="G42" i="6"/>
  <c r="K65" i="6"/>
  <c r="C65" i="6" s="1"/>
  <c r="G27" i="6"/>
  <c r="H27" i="6" s="1"/>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36" i="6"/>
  <c r="C36" i="6" s="1"/>
  <c r="H26" i="6"/>
  <c r="C26" i="6" s="1"/>
  <c r="F41" i="6"/>
  <c r="H41" i="6" s="1"/>
  <c r="H37" i="6"/>
  <c r="H25" i="6"/>
  <c r="C25" i="6" s="1"/>
  <c r="V57" i="5"/>
  <c r="R57" i="5" s="1"/>
  <c r="V541" i="5"/>
  <c r="F541" i="5" s="1"/>
  <c r="V73" i="5"/>
  <c r="R73" i="5" s="1"/>
  <c r="V33" i="5"/>
  <c r="G33" i="5" s="1"/>
  <c r="V17" i="5"/>
  <c r="F17" i="5" s="1"/>
  <c r="V468" i="5"/>
  <c r="E468" i="5" s="1"/>
  <c r="AB8" i="5"/>
  <c r="V28" i="5"/>
  <c r="AB67" i="5"/>
  <c r="AB23" i="5"/>
  <c r="V51" i="5"/>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AB54" i="5"/>
  <c r="AB61" i="5"/>
  <c r="V70" i="5"/>
  <c r="G70" i="5" s="1"/>
  <c r="V80" i="5"/>
  <c r="G80" i="5" s="1"/>
  <c r="V100" i="5"/>
  <c r="AB9" i="5"/>
  <c r="AB16" i="5"/>
  <c r="V30" i="5"/>
  <c r="G30" i="5" s="1"/>
  <c r="V37" i="5"/>
  <c r="V46" i="5"/>
  <c r="V58" i="5"/>
  <c r="G58" i="5" s="1"/>
  <c r="V68" i="5"/>
  <c r="G68" i="5" s="1"/>
  <c r="AB88" i="5"/>
  <c r="AB5" i="5"/>
  <c r="V8" i="5"/>
  <c r="G8" i="5" s="1"/>
  <c r="V9" i="5"/>
  <c r="V16" i="5"/>
  <c r="G16" i="5" s="1"/>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V49" i="5"/>
  <c r="V84" i="5"/>
  <c r="AB30" i="5"/>
  <c r="V43" i="5"/>
  <c r="V53" i="5"/>
  <c r="G53" i="5" s="1"/>
  <c r="AB74" i="5"/>
  <c r="V38" i="5"/>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AB46" i="5"/>
  <c r="AB53" i="5"/>
  <c r="V59" i="5"/>
  <c r="G59" i="5" s="1"/>
  <c r="AB66" i="5"/>
  <c r="V77" i="5"/>
  <c r="G77" i="5" s="1"/>
  <c r="V94" i="5"/>
  <c r="G94" i="5" s="1"/>
  <c r="V5" i="5"/>
  <c r="G5" i="5" s="1"/>
  <c r="AB13" i="5"/>
  <c r="V23" i="5"/>
  <c r="G23" i="5" s="1"/>
  <c r="V45" i="5"/>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41" i="6" l="1"/>
  <c r="D41" i="6"/>
  <c r="D25" i="6"/>
  <c r="D32"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E86" i="5"/>
  <c r="H86" i="5"/>
  <c r="R86" i="5"/>
  <c r="I86" i="5"/>
  <c r="J86" i="5"/>
  <c r="F86" i="5"/>
  <c r="R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E23" i="5"/>
  <c r="I23" i="5"/>
  <c r="H23" i="5"/>
  <c r="R23" i="5"/>
  <c r="F23" i="5"/>
  <c r="J23" i="5"/>
  <c r="E94" i="5"/>
  <c r="H94" i="5"/>
  <c r="R94" i="5"/>
  <c r="I94" i="5"/>
  <c r="J94" i="5"/>
  <c r="F94" i="5"/>
  <c r="G86"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R45" i="5"/>
  <c r="I59" i="5"/>
  <c r="E59" i="5"/>
  <c r="H59" i="5"/>
  <c r="R59" i="5"/>
  <c r="F59" i="5"/>
  <c r="J59"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R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R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R20" i="5"/>
  <c r="H8" i="5"/>
  <c r="J8" i="5"/>
  <c r="E8" i="5"/>
  <c r="I8" i="5"/>
  <c r="R8" i="5"/>
  <c r="F8" i="5"/>
  <c r="G100" i="5"/>
  <c r="R47" i="5"/>
  <c r="I27" i="5"/>
  <c r="E27" i="5"/>
  <c r="F27" i="5"/>
  <c r="H27" i="5"/>
  <c r="J27" i="5"/>
  <c r="R27" i="5"/>
  <c r="I63" i="5"/>
  <c r="E63" i="5"/>
  <c r="H63" i="5"/>
  <c r="J63" i="5"/>
  <c r="F63" i="5"/>
  <c r="R63"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R51" i="5"/>
  <c r="R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R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R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0"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63" i="5"/>
  <c r="T282" i="5"/>
  <c r="T236" i="5"/>
  <c r="T193" i="5"/>
  <c r="T170" i="5"/>
  <c r="T166" i="5"/>
  <c r="T566" i="5"/>
  <c r="T506" i="5"/>
  <c r="T126" i="5"/>
  <c r="T520" i="5"/>
  <c r="T486" i="5"/>
  <c r="T387" i="5"/>
  <c r="T246" i="5"/>
  <c r="T243" i="5"/>
  <c r="T134" i="5"/>
  <c r="T114" i="5"/>
  <c r="T97" i="5"/>
  <c r="T169" i="5"/>
  <c r="T178" i="5"/>
  <c r="T51" i="5"/>
  <c r="T52" i="5"/>
  <c r="T40" i="5"/>
  <c r="T12" i="5"/>
  <c r="T18" i="5"/>
  <c r="T29" i="5"/>
  <c r="T16" i="5"/>
  <c r="T43" i="5"/>
  <c r="T32" i="5"/>
  <c r="T11" i="5"/>
  <c r="T25" i="5"/>
  <c r="T42" i="5"/>
  <c r="T17" i="5"/>
  <c r="T37" i="5"/>
  <c r="T39" i="5"/>
  <c r="T34" i="5"/>
  <c r="T46" i="5"/>
  <c r="T48" i="5"/>
  <c r="T41" i="5"/>
  <c r="T28" i="5"/>
  <c r="T45" i="5"/>
  <c r="T21" i="5"/>
  <c r="T10" i="5"/>
  <c r="T26" i="5"/>
  <c r="T7" i="5"/>
  <c r="T38" i="5"/>
  <c r="T13" i="5"/>
  <c r="T44" i="5"/>
  <c r="T8" i="5"/>
  <c r="T50" i="5"/>
  <c r="T19" i="5"/>
  <c r="T49" i="5"/>
  <c r="T47" i="5"/>
  <c r="T30" i="5"/>
  <c r="T22" i="5"/>
  <c r="T31" i="5"/>
  <c r="T24" i="5"/>
  <c r="T14" i="5"/>
  <c r="T15" i="5"/>
  <c r="S33" i="5"/>
  <c r="T33" i="5"/>
  <c r="T9" i="5"/>
  <c r="T5" i="5"/>
  <c r="S17" i="5"/>
  <c r="T27" i="5"/>
  <c r="T6" i="5"/>
  <c r="T23" i="5"/>
  <c r="H64" i="6" l="1"/>
  <c r="D64" i="6" s="1"/>
  <c r="C64" i="6"/>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349" i="5"/>
  <c r="S563" i="5"/>
  <c r="S517" i="5"/>
  <c r="S187" i="5"/>
  <c r="S59" i="5"/>
  <c r="S85" i="5"/>
  <c r="S388" i="5"/>
  <c r="S463" i="5"/>
  <c r="S185" i="5"/>
  <c r="S573" i="5"/>
  <c r="S577" i="5"/>
  <c r="S564" i="5"/>
  <c r="S147" i="5"/>
  <c r="S412" i="5"/>
  <c r="S109" i="5"/>
  <c r="S441" i="5"/>
  <c r="S484"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172" i="5"/>
  <c r="S494" i="5"/>
  <c r="S224" i="5"/>
  <c r="S425" i="5"/>
  <c r="S396" i="5"/>
  <c r="S183" i="5"/>
  <c r="S249" i="5"/>
  <c r="S69" i="5"/>
  <c r="S66" i="5"/>
  <c r="S548" i="5"/>
  <c r="S545" i="5"/>
  <c r="S495" i="5"/>
  <c r="S404" i="5"/>
  <c r="S518" i="5"/>
  <c r="S51" i="5"/>
  <c r="S52" i="5"/>
  <c r="S44" i="5"/>
  <c r="S30" i="5"/>
  <c r="S5" i="5"/>
  <c r="S31" i="5"/>
  <c r="S26" i="5"/>
  <c r="S13" i="5"/>
  <c r="S16" i="5"/>
  <c r="S24" i="5"/>
  <c r="S8" i="5"/>
  <c r="S20" i="5"/>
  <c r="S9" i="5"/>
  <c r="S41" i="5"/>
  <c r="S34" i="5"/>
  <c r="S27" i="5"/>
  <c r="S14" i="5"/>
  <c r="S48" i="5"/>
  <c r="S43" i="5"/>
  <c r="S38" i="5"/>
  <c r="S39" i="5"/>
  <c r="S32" i="5"/>
  <c r="S7" i="5"/>
  <c r="S46" i="5"/>
  <c r="S42" i="5"/>
  <c r="S18" i="5"/>
  <c r="S40" i="5"/>
  <c r="S47" i="5"/>
  <c r="S29" i="5"/>
  <c r="S15" i="5"/>
  <c r="S11" i="5"/>
  <c r="S45" i="5"/>
  <c r="S50" i="5"/>
  <c r="S21" i="5"/>
  <c r="S49" i="5"/>
  <c r="S10" i="5"/>
  <c r="S22" i="5"/>
  <c r="S37" i="5"/>
  <c r="S19" i="5"/>
  <c r="S28" i="5"/>
  <c r="S12" i="5"/>
  <c r="S6" i="5"/>
  <c r="S23" i="5"/>
  <c r="S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<sst xmlns="http://schemas.openxmlformats.org/spreadsheetml/2006/main" count="21871" uniqueCount="15511">
  <si>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</si>
  <si>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</si>
  <si>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</si>
  <si>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</si>
  <si>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</si>
  <si>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</si>
  <si>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</si>
  <si>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</si>
  <si>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</si>
  <si>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</si>
  <si>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</si>
  <si>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</si>
  <si>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</si>
  <si>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</si>
  <si>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</si>
  <si>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</si>
  <si>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</si>
  <si>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</si>
  <si>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</si>
  <si>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</si>
  <si>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</si>
  <si>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</si>
  <si>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</si>
  <si>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</si>
  <si>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</si>
  <si>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</si>
  <si>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</si>
  <si>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</si>
  <si>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</si>
  <si>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</si>
  <si>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</si>
  <si>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</si>
  <si>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</si>
  <si>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</si>
  <si>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</si>
  <si>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</si>
  <si>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</si>
  <si>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</si>
  <si>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</si>
  <si>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</si>
  <si>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</si>
  <si>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</si>
  <si>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</si>
  <si>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</si>
  <si>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</si>
  <si>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</si>
  <si>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</si>
  <si>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</si>
  <si>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</si>
  <si>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</si>
  <si>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</si>
  <si>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</si>
  <si>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</si>
  <si>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</si>
  <si>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</si>
  <si>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</si>
  <si>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</si>
  <si>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</si>
  <si>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</si>
  <si>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</si>
  <si>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</si>
  <si>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</si>
  <si>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</si>
  <si>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</si>
  <si>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</si>
  <si>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</si>
  <si>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</si>
  <si>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</si>
  <si>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</si>
  <si>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</si>
  <si>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</si>
  <si>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</si>
  <si>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</si>
  <si>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</si>
  <si>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</si>
  <si>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</si>
  <si>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</si>
  <si>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</si>
  <si>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</si>
  <si>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</si>
  <si>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</si>
  <si>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</si>
  <si>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</si>
  <si>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</si>
  <si>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</si>
  <si>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</si>
  <si>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</si>
  <si>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</si>
  <si>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</si>
  <si>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</si>
  <si>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</si>
  <si>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</si>
  <si>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</si>
  <si>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</si>
  <si>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</si>
  <si>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</si>
  <si>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</si>
  <si>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</si>
  <si>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</si>
  <si>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</si>
  <si>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</si>
  <si>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</si>
  <si>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</si>
  <si>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</si>
  <si>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</si>
  <si>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</si>
  <si>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</si>
  <si>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</si>
  <si>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</si>
  <si>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</si>
  <si>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</si>
  <si>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</si>
  <si>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</si>
  <si>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</si>
  <si>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</si>
  <si>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</si>
  <si>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</si>
  <si>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</si>
  <si>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</si>
  <si>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</si>
  <si>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</si>
  <si>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</si>
  <si>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</si>
  <si>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</si>
  <si>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</si>
  <si>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</si>
  <si>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</si>
  <si>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</si>
  <si>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</si>
  <si>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</si>
  <si>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</si>
  <si>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</si>
  <si>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</si>
  <si>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</si>
  <si>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</si>
  <si>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</si>
  <si>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</si>
  <si>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</si>
  <si>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</si>
  <si>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</si>
  <si>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</si>
  <si>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</si>
  <si>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</si>
  <si>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</si>
  <si>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</si>
  <si>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</si>
  <si>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</si>
  <si>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</si>
  <si>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</si>
  <si>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</si>
  <si>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</si>
  <si>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</si>
  <si>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</si>
  <si>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</si>
  <si>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</si>
  <si>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</si>
  <si>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</si>
  <si>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</si>
  <si>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</si>
  <si>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</si>
  <si>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</si>
  <si>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</si>
  <si>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</si>
  <si>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</si>
  <si>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</si>
  <si>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</si>
  <si>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</si>
  <si>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</si>
  <si>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</si>
  <si>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</si>
  <si>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</si>
  <si>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</si>
  <si>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</si>
  <si>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</si>
  <si>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</si>
  <si>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</si>
  <si>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</si>
  <si>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</si>
  <si>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</si>
  <si>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</si>
  <si>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</si>
  <si>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</si>
  <si>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</si>
  <si>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</si>
  <si>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</si>
  <si>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</si>
  <si>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</si>
  <si>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</si>
  <si>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</si>
  <si>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</si>
  <si>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</si>
  <si>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</si>
  <si>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</si>
  <si>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</si>
  <si>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</si>
  <si>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</si>
  <si>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</si>
  <si>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</si>
  <si>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</si>
  <si>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</si>
  <si>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</si>
  <si>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</si>
  <si>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</si>
  <si>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</si>
  <si>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</si>
  <si>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</si>
  <si>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</si>
  <si>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</si>
  <si>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</si>
  <si>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</si>
  <si>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</si>
  <si>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</si>
  <si>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</si>
  <si>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</si>
  <si>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</si>
  <si>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</si>
  <si>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</si>
  <si>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</si>
  <si>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</si>
  <si>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</si>
  <si>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</si>
  <si>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</si>
  <si>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</si>
  <si>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</si>
  <si>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</si>
  <si>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</si>
  <si>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</si>
  <si>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</si>
  <si>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</si>
  <si>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</si>
  <si>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</si>
  <si>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</si>
  <si>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</si>
  <si>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</si>
  <si>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</si>
  <si>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</si>
  <si>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</si>
  <si>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</si>
  <si>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</si>
  <si>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</si>
  <si>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</si>
  <si>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</si>
  <si>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</si>
  <si>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</si>
  <si>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</si>
  <si>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</si>
  <si>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</si>
  <si>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</si>
  <si>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</si>
  <si>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</si>
  <si>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</si>
  <si>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</si>
  <si>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</si>
  <si>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</si>
  <si>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</si>
  <si>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</si>
  <si>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</si>
  <si>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</si>
  <si>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</si>
  <si>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</si>
  <si>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</si>
  <si>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</si>
  <si>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</si>
  <si>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</si>
  <si>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</si>
  <si>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</si>
  <si>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</si>
  <si>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</si>
  <si>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</si>
  <si>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</si>
  <si>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</si>
  <si>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</si>
  <si>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</si>
  <si>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</si>
  <si>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</si>
  <si>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</si>
  <si>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</si>
  <si>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</si>
  <si>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</si>
  <si>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</si>
  <si>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</si>
  <si>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</si>
  <si>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</si>
  <si>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</si>
  <si>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</si>
  <si>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</si>
  <si>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</si>
  <si>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</si>
  <si>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</si>
  <si>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</si>
  <si>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</si>
  <si>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</si>
  <si>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</si>
  <si>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</si>
  <si>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</si>
  <si>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</si>
  <si>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</si>
  <si>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</si>
  <si>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</si>
  <si>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</si>
  <si>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</si>
  <si>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</si>
  <si>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</si>
  <si>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</si>
  <si>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</si>
  <si>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</si>
  <si>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</si>
  <si>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</si>
  <si>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</si>
  <si>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</si>
  <si>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</si>
  <si>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</si>
  <si>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</si>
  <si>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</si>
  <si>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</si>
  <si>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</si>
  <si>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</si>
  <si>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</si>
  <si>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</si>
  <si>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</si>
  <si>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</si>
  <si>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</si>
  <si>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</si>
  <si>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</si>
  <si>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</si>
  <si>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</si>
  <si>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</si>
  <si>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</si>
  <si>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</si>
  <si>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</si>
  <si>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</si>
  <si>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</si>
  <si>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</si>
  <si>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</si>
  <si>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</si>
  <si>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</si>
  <si>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</si>
  <si>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</si>
  <si>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</si>
  <si>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</si>
  <si>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</si>
  <si>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</si>
  <si>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</si>
  <si>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</si>
  <si>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</si>
  <si>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</si>
  <si>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</si>
  <si>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</si>
  <si>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</si>
  <si>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</si>
  <si>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</si>
  <si>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</si>
  <si>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</si>
  <si>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</si>
  <si>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</si>
  <si>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</si>
  <si>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</si>
  <si>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</si>
  <si>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</si>
  <si>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</si>
  <si>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</si>
  <si>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</si>
  <si>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</si>
  <si>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</si>
  <si>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</si>
  <si>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</si>
  <si>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</si>
  <si>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</si>
  <si>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</si>
  <si>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</si>
  <si>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</si>
  <si>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</si>
  <si>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</si>
  <si>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</si>
  <si>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</si>
  <si>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</si>
  <si>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</si>
  <si>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</si>
  <si>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</si>
  <si>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</si>
  <si>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</si>
  <si>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</si>
  <si>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</si>
  <si>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</si>
  <si>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</si>
  <si>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</si>
  <si>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</si>
  <si>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</si>
  <si>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</si>
  <si>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</si>
  <si>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</si>
  <si>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</si>
  <si>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</si>
  <si>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</si>
  <si>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</si>
  <si>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</si>
  <si>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</si>
  <si>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</si>
  <si>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</si>
  <si>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</si>
  <si>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</si>
  <si>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</si>
  <si>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</si>
  <si>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</si>
  <si>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</si>
  <si>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</si>
  <si>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</si>
  <si>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</si>
  <si>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</si>
  <si>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</si>
  <si>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</si>
  <si>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</si>
  <si>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</si>
  <si>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</si>
  <si>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</si>
  <si>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</si>
  <si>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</si>
  <si>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</si>
  <si>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</si>
  <si>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</si>
  <si>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</si>
  <si>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</si>
  <si>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</si>
  <si>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</si>
  <si>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</si>
  <si>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</si>
  <si>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</si>
  <si>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</si>
  <si>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</si>
  <si>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</si>
  <si>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</si>
  <si>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</si>
  <si>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</si>
  <si>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</si>
  <si>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</si>
  <si>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</si>
  <si>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</si>
  <si>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</si>
  <si>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</si>
  <si>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</si>
  <si>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</si>
  <si>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</si>
  <si>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</si>
  <si>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</si>
  <si>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</si>
  <si>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</si>
  <si>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</si>
  <si>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</si>
  <si>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</si>
  <si>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</si>
  <si>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</si>
  <si>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</si>
  <si>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</si>
  <si>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</si>
  <si>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</si>
  <si>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</si>
  <si>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</si>
  <si>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</si>
  <si>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</si>
  <si>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</si>
  <si>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</si>
  <si>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</si>
  <si>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</si>
  <si>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</si>
  <si>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</si>
  <si>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</si>
  <si>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</si>
  <si>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</si>
  <si>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</si>
  <si>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</si>
  <si>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</si>
  <si>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</si>
  <si>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</si>
  <si>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</si>
  <si>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</si>
  <si>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</si>
  <si>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</si>
  <si>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</si>
  <si>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</si>
  <si>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</si>
  <si>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</si>
  <si>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</si>
  <si>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</si>
  <si>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</si>
  <si>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</si>
  <si>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</si>
  <si>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</si>
  <si>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</si>
  <si>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</si>
  <si>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</si>
  <si>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</si>
  <si>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</si>
  <si>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</si>
  <si>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</si>
  <si>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</si>
  <si>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</si>
  <si>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</si>
  <si>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</si>
  <si>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</si>
  <si>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</si>
  <si>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</si>
  <si>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</si>
  <si>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</si>
  <si>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</si>
  <si>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</si>
  <si>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</si>
  <si>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</si>
  <si>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</si>
  <si>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</si>
  <si>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</si>
  <si>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</si>
  <si>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</si>
  <si>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</si>
  <si>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</si>
  <si>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</si>
  <si>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</si>
  <si>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</si>
  <si>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</si>
  <si>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</si>
  <si>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</si>
  <si>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</si>
  <si>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</si>
  <si>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</si>
  <si>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</si>
  <si>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</si>
  <si>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</si>
  <si>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</si>
  <si>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</si>
  <si>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</si>
  <si>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</si>
  <si>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</si>
  <si>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</si>
  <si>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</si>
  <si>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</si>
  <si>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</si>
  <si>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</si>
  <si>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</si>
  <si>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</si>
  <si>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</si>
  <si>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</si>
  <si>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</si>
  <si>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</si>
  <si>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</si>
  <si>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</si>
  <si>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</si>
  <si>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</si>
  <si>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</si>
  <si>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</si>
  <si>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</si>
  <si>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</si>
  <si>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</si>
  <si>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</si>
  <si>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</si>
  <si>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</si>
  <si>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</si>
  <si>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</si>
  <si>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</si>
  <si>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</si>
  <si>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</si>
  <si>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</si>
  <si>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</si>
  <si>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</si>
  <si>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</si>
  <si>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</si>
  <si>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</si>
  <si>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</si>
  <si>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</si>
  <si>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</si>
  <si>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</si>
  <si>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</si>
  <si>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</si>
  <si>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</si>
  <si>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</si>
  <si>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</si>
  <si>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</si>
  <si>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</si>
  <si>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</si>
  <si>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</si>
  <si>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</si>
  <si>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</si>
  <si>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</si>
  <si>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</si>
  <si>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</si>
  <si>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</si>
  <si>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</si>
  <si>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</si>
  <si>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</si>
  <si>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</si>
  <si>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</si>
  <si>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</si>
  <si>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</si>
  <si>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</si>
  <si>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</si>
  <si>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</si>
  <si>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</si>
  <si>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</si>
  <si>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</si>
  <si>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</si>
  <si>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</si>
  <si>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</si>
  <si>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</si>
  <si>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</si>
  <si>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</si>
  <si>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</si>
  <si>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</si>
  <si>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</si>
  <si>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</si>
  <si>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</si>
  <si>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</si>
  <si>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</si>
  <si>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</si>
  <si>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</si>
  <si>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</si>
  <si>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</si>
  <si>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</si>
  <si>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</si>
  <si>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</si>
  <si>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</si>
  <si>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</si>
  <si>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</si>
  <si>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</si>
  <si>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</si>
  <si>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</si>
  <si>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</si>
  <si>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</si>
  <si>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</si>
  <si>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</si>
  <si>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</si>
  <si>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</si>
  <si>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</si>
  <si>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</si>
  <si>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</si>
  <si>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</si>
  <si>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</si>
  <si>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</si>
  <si>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</si>
  <si>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</si>
  <si>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</si>
  <si>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</si>
  <si>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</si>
  <si>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</si>
  <si>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</si>
  <si>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</si>
  <si>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</si>
  <si>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</si>
  <si>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</si>
  <si>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</si>
  <si>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</si>
  <si>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</si>
  <si>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</si>
  <si>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</si>
  <si>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</si>
  <si>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</si>
  <si>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</si>
  <si>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</si>
  <si>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</si>
  <si>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</si>
  <si>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</si>
  <si>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</si>
  <si>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</si>
  <si>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</si>
  <si>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</si>
  <si>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</si>
  <si>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</si>
  <si>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</si>
  <si>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</si>
  <si>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</si>
  <si>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</si>
  <si>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</si>
  <si>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</si>
  <si>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</si>
  <si>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</si>
  <si>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</si>
  <si>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</si>
  <si>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</si>
  <si>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</si>
  <si>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</si>
  <si>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</si>
  <si>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</si>
  <si>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</si>
  <si>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</si>
  <si>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</si>
  <si>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</si>
  <si>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</si>
  <si>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</si>
  <si>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</si>
  <si>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</si>
  <si>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</si>
  <si>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</si>
  <si>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</si>
  <si>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</si>
  <si>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</si>
  <si>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</si>
  <si>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</si>
  <si>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</si>
  <si>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</si>
  <si>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</si>
  <si>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</si>
  <si>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</si>
  <si>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</si>
  <si>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</si>
  <si>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</si>
  <si>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</si>
  <si>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</si>
  <si>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</si>
  <si>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</si>
  <si>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</si>
  <si>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</si>
  <si>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</si>
  <si>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</si>
  <si>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</si>
  <si>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</si>
  <si>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</si>
  <si>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</si>
  <si>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</si>
  <si>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</si>
  <si>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</si>
  <si>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</si>
  <si>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</si>
  <si>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</si>
  <si>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</si>
  <si>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</si>
  <si>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</si>
  <si>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</si>
  <si>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</si>
  <si>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</si>
  <si>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</si>
  <si>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</si>
  <si>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</si>
  <si>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</si>
  <si>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</si>
  <si>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</si>
  <si>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</si>
  <si>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</si>
  <si>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</si>
  <si>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</si>
  <si>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</si>
  <si>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</si>
  <si>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</si>
  <si>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</si>
  <si>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</si>
  <si>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</si>
  <si>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</si>
  <si>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</si>
  <si>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</si>
  <si>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</si>
  <si>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</si>
  <si>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</si>
  <si>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</si>
  <si>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</si>
  <si>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</si>
  <si>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</si>
  <si>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</si>
  <si>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</si>
  <si>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</si>
  <si>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</si>
  <si>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</si>
  <si>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</si>
  <si>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</si>
  <si>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</si>
  <si>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</si>
  <si>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</si>
  <si>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</si>
  <si>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</si>
  <si>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</si>
  <si>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</si>
  <si>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</si>
  <si>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</si>
  <si>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</si>
  <si>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</si>
  <si>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</si>
  <si>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</si>
  <si>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</si>
  <si>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</si>
  <si>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</si>
  <si>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</si>
  <si>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</si>
  <si>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</si>
  <si>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</si>
  <si>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</si>
  <si>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</si>
  <si>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</si>
  <si>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</si>
  <si>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</si>
  <si>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</si>
  <si>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</si>
  <si>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</si>
  <si>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</si>
  <si>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</si>
  <si>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</si>
  <si>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</si>
  <si>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</si>
  <si>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</si>
  <si>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</si>
  <si>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</si>
  <si>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</si>
  <si>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</si>
  <si>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</si>
  <si>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</si>
  <si>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</si>
  <si>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</si>
  <si>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</si>
  <si>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</si>
  <si>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</si>
  <si>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</si>
  <si>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</si>
  <si>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</si>
  <si>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</si>
  <si>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</si>
  <si>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</si>
  <si>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</si>
  <si>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</si>
  <si>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</si>
  <si>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</si>
  <si>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</si>
  <si>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</si>
  <si>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</si>
  <si>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</si>
  <si>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</si>
  <si>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</si>
  <si>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</si>
  <si>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</si>
  <si>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</si>
  <si>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</si>
  <si>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</si>
  <si>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</si>
  <si>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</si>
  <si>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</si>
  <si>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</si>
  <si>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</si>
  <si>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</si>
  <si>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</si>
  <si>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</si>
  <si>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</si>
  <si>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</si>
  <si>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</si>
  <si>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</si>
  <si>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</si>
  <si>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</si>
  <si>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</si>
  <si>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</si>
  <si>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</si>
  <si>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</si>
  <si>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</si>
  <si>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</si>
  <si>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</si>
  <si>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</si>
  <si>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</si>
  <si>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</si>
  <si>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</si>
  <si>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</si>
  <si>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</si>
  <si>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</si>
  <si>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</si>
  <si>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</si>
  <si>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</si>
  <si>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</si>
  <si>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</si>
  <si>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</si>
  <si>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</si>
  <si>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</si>
  <si>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</si>
  <si>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</si>
  <si>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</si>
  <si>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</si>
  <si>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</si>
  <si>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</si>
  <si>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</si>
  <si>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</si>
  <si>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</si>
  <si>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</si>
  <si>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</si>
  <si>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</si>
  <si>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</si>
  <si>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</si>
  <si>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</si>
  <si>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</si>
  <si>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</si>
  <si>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</si>
  <si>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</si>
  <si>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</si>
  <si>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</si>
  <si>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</si>
  <si>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</si>
  <si>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</si>
  <si>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</si>
  <si>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</si>
  <si>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</si>
  <si>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</si>
  <si>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</si>
  <si>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</si>
  <si>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</si>
  <si>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</si>
  <si>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</si>
  <si>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</si>
  <si>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</si>
  <si>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</si>
  <si>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</si>
  <si>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</si>
  <si>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</si>
  <si>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</si>
  <si>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</si>
  <si>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</si>
  <si>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</si>
  <si>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</si>
  <si>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</si>
  <si>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</si>
  <si>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</si>
  <si>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</si>
  <si>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</si>
  <si>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</si>
  <si>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</si>
  <si>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</si>
  <si>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</si>
  <si>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</si>
  <si>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</si>
  <si>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</si>
  <si>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</si>
  <si>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</si>
  <si>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</si>
  <si>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</si>
  <si>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</si>
  <si>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</si>
  <si>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</si>
  <si>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</si>
  <si>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</si>
  <si>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</si>
  <si>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</si>
  <si>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</si>
  <si>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</si>
  <si>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</si>
  <si>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</si>
  <si>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</si>
  <si>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</si>
  <si>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</si>
  <si>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</si>
  <si>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</si>
  <si>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</si>
  <si>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</si>
  <si>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</si>
  <si>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</si>
  <si>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</si>
  <si>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</si>
  <si>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</si>
  <si>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</si>
  <si>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</si>
  <si>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</si>
  <si>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</si>
  <si>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</si>
  <si>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</si>
  <si>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</si>
  <si>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</si>
  <si>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</si>
  <si>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</si>
  <si>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</si>
  <si>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</si>
  <si>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</si>
  <si>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</si>
  <si>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</si>
  <si>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</si>
  <si>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</si>
  <si>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</si>
  <si>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</si>
  <si>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</si>
  <si>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</si>
  <si>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</si>
  <si>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</si>
  <si>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</si>
  <si>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</si>
  <si>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</si>
  <si>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</si>
  <si>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</si>
  <si>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</si>
  <si>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</si>
  <si>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</si>
  <si>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</si>
  <si>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</si>
  <si>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</si>
  <si>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</si>
  <si>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</si>
  <si>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</si>
  <si>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</si>
  <si>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</si>
  <si>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</si>
  <si>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</si>
  <si>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</si>
  <si>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</si>
  <si>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</si>
  <si>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</si>
  <si>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</si>
  <si>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</si>
  <si>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</si>
  <si>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</si>
  <si>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</si>
  <si>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</si>
  <si>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</si>
  <si>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</si>
  <si>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</si>
  <si>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</si>
  <si>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</si>
  <si>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</si>
  <si>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</si>
  <si>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</si>
  <si>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</si>
  <si>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</si>
  <si>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</si>
  <si>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</si>
  <si>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</si>
  <si>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</si>
  <si>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</si>
  <si>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</si>
  <si>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</si>
  <si>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</si>
  <si>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</si>
  <si>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</si>
  <si>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</si>
  <si>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</si>
  <si>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</si>
  <si>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</si>
  <si>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</si>
  <si>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</si>
  <si>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</si>
  <si>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</si>
  <si>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</si>
  <si>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</si>
  <si>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</si>
  <si>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</si>
  <si>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</si>
  <si>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</si>
  <si>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</si>
  <si>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</si>
  <si>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</si>
  <si>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</si>
  <si>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</si>
  <si>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</si>
  <si>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</si>
  <si>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</si>
  <si>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</si>
  <si>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</si>
  <si>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</si>
  <si>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</si>
  <si>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</si>
  <si>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</si>
  <si>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</si>
  <si>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</si>
  <si>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</si>
  <si>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</si>
  <si>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</si>
  <si>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</si>
  <si>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</si>
  <si>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</si>
  <si>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</si>
  <si>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</si>
  <si>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</si>
  <si>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</si>
  <si>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</si>
  <si>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</si>
  <si>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</si>
  <si>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</si>
  <si>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</si>
  <si>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</si>
  <si>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</si>
  <si>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</si>
  <si>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</si>
  <si>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</si>
  <si>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</si>
  <si>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</si>
  <si>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</si>
  <si>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</si>
  <si>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</si>
  <si>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</si>
  <si>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</si>
  <si>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</si>
  <si>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</si>
  <si>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</si>
  <si>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</si>
  <si>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</si>
  <si>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</si>
  <si>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</si>
  <si>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</si>
  <si>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</si>
  <si>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</si>
  <si>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</si>
  <si>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</si>
  <si>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</si>
  <si>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</si>
  <si>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</si>
  <si>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</si>
  <si>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</si>
  <si>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</si>
  <si>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</si>
  <si>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</si>
  <si>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</si>
  <si>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</si>
  <si>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</si>
  <si>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</si>
  <si>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</si>
  <si>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</si>
  <si>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</si>
  <si>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</si>
  <si>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</si>
  <si>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</si>
  <si>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</si>
  <si>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</si>
  <si>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</si>
  <si>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</si>
  <si>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</si>
  <si>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</si>
  <si>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</si>
  <si>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</si>
  <si>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</si>
  <si>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</si>
  <si>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</si>
  <si>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</si>
  <si>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</si>
  <si>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</si>
  <si>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</si>
  <si>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</si>
  <si>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</si>
  <si>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</si>
  <si>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</si>
  <si>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</si>
  <si>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</si>
  <si>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</si>
  <si>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</si>
  <si>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</si>
  <si>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</si>
  <si>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</si>
  <si>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</si>
  <si>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</si>
  <si>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</si>
  <si>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</si>
  <si>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</si>
  <si>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</si>
  <si>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</si>
  <si>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</si>
  <si>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</si>
  <si>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</si>
  <si>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</si>
  <si>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</si>
  <si>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</si>
  <si>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</si>
  <si>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</si>
  <si>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</si>
  <si>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</si>
  <si>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</si>
  <si>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</si>
  <si>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</si>
  <si>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</si>
  <si>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</si>
  <si>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</si>
  <si>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</si>
  <si>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</si>
  <si>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</si>
  <si>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</si>
  <si>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</si>
  <si>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</si>
  <si>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</si>
  <si>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</si>
  <si>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</si>
  <si>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</si>
  <si>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</si>
  <si>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</si>
  <si>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</si>
  <si>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</si>
  <si>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</si>
  <si>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</si>
  <si>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</si>
  <si>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</si>
  <si>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</si>
  <si>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</si>
  <si>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</si>
  <si>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</si>
  <si>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</si>
  <si>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</si>
  <si>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</si>
  <si>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</si>
  <si>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</si>
  <si>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</si>
  <si>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</si>
  <si>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</si>
  <si>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</si>
  <si>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</si>
  <si>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</si>
  <si>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</si>
  <si>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</si>
  <si>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</si>
  <si>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</si>
  <si>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</si>
  <si>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</si>
  <si>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</si>
  <si>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</si>
  <si>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</si>
  <si>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</si>
  <si>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</si>
  <si>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</si>
  <si>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</si>
  <si>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</si>
  <si>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</si>
  <si>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</si>
  <si>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</si>
  <si>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</si>
  <si>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</si>
  <si>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</si>
  <si>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</si>
  <si>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</si>
  <si>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</si>
  <si>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</si>
  <si>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</si>
  <si>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</si>
  <si>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</si>
  <si>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</si>
  <si>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</si>
  <si>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</si>
  <si>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</si>
  <si>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</si>
  <si>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</si>
  <si>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</si>
  <si>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</si>
  <si>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</si>
  <si>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</si>
  <si>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</si>
  <si>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</si>
  <si>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</si>
  <si>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</si>
  <si>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</si>
  <si>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</si>
  <si>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</si>
  <si>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</si>
  <si>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</si>
  <si>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</si>
  <si>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</si>
  <si>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</si>
  <si>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</si>
  <si>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</si>
  <si>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</si>
  <si>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</si>
  <si>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</si>
  <si>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</si>
  <si>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</si>
  <si>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</si>
  <si>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</si>
  <si>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</si>
  <si>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</si>
  <si>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</si>
  <si>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</si>
  <si>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</si>
  <si>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</si>
  <si>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</si>
  <si>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</si>
  <si>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</si>
  <si>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</si>
  <si>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</si>
  <si>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</si>
  <si>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</si>
  <si>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</si>
  <si>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</si>
  <si>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</si>
  <si>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</si>
  <si>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</si>
  <si>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</si>
  <si>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</si>
  <si>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</si>
  <si>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</si>
  <si>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</si>
  <si>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</si>
  <si>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</si>
  <si>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</si>
  <si>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</si>
  <si>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</si>
  <si>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</si>
  <si>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</si>
  <si>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</si>
  <si>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</si>
  <si>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</si>
  <si>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</si>
  <si>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</si>
  <si>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</si>
  <si>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</si>
  <si>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</si>
  <si>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</si>
  <si>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</si>
  <si>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</si>
  <si>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</si>
  <si>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</si>
  <si>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</si>
  <si>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</si>
  <si>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</si>
  <si>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</si>
  <si>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</si>
  <si>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</si>
  <si>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</si>
  <si>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</si>
  <si>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</si>
  <si>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</si>
  <si>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</si>
  <si>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</si>
  <si>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</si>
  <si>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</si>
  <si>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</si>
  <si>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</si>
  <si>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</si>
  <si>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</si>
  <si>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</si>
  <si>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</si>
  <si>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</si>
  <si>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</si>
  <si>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</si>
  <si>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</si>
  <si>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</si>
  <si>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</si>
  <si>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</si>
  <si>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</si>
  <si>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</si>
  <si>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</si>
  <si>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</si>
  <si>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</si>
  <si>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</si>
  <si>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</si>
  <si>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</si>
  <si>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</si>
  <si>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</si>
  <si>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</si>
  <si>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</si>
  <si>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</si>
  <si>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</si>
  <si>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</si>
  <si>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</si>
  <si>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</si>
  <si>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</si>
  <si>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</si>
  <si>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</si>
  <si>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</si>
  <si>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</si>
  <si>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</si>
  <si>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</si>
  <si>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</si>
  <si>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</si>
  <si>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</si>
  <si>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</si>
  <si>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</si>
  <si>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</si>
  <si>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</si>
  <si>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</si>
  <si>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</si>
  <si>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</si>
  <si>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</si>
  <si>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</si>
  <si>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</si>
  <si>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</si>
  <si>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</si>
  <si>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</si>
  <si>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</si>
  <si>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</si>
  <si>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</si>
  <si>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</si>
  <si>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</si>
  <si>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</si>
  <si>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</si>
  <si>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</si>
  <si>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</si>
  <si>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</si>
  <si>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</si>
  <si>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</si>
  <si>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</si>
  <si>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</si>
  <si>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</si>
  <si>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</si>
  <si>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</si>
  <si>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</si>
  <si>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</si>
  <si>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</si>
  <si>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</si>
  <si>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</si>
  <si>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</si>
  <si>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</si>
  <si>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</si>
  <si>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</si>
  <si>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</si>
  <si>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</si>
  <si>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</si>
  <si>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</si>
  <si>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</si>
  <si>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</si>
  <si>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</si>
  <si>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</si>
  <si>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</si>
  <si>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</si>
  <si>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</si>
  <si>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</si>
  <si>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</si>
  <si>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</si>
  <si>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</si>
  <si>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</si>
  <si>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</si>
  <si>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</si>
  <si>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</si>
  <si>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</si>
  <si>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</si>
  <si>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</si>
  <si>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</si>
  <si>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</si>
  <si>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</si>
  <si>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</si>
  <si>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</si>
  <si>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</si>
  <si>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</si>
  <si>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</si>
  <si>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</si>
  <si>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</si>
  <si>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</si>
  <si>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</si>
  <si>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</si>
  <si>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</si>
  <si>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</si>
  <si>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</si>
  <si>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</si>
  <si>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</si>
  <si>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</si>
  <si>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</si>
  <si>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</si>
  <si>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</si>
  <si>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</si>
  <si>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</si>
  <si>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</si>
  <si>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</si>
  <si>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</si>
  <si>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</si>
  <si>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</si>
  <si>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</si>
  <si>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</si>
  <si>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</si>
  <si>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</si>
  <si>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</si>
  <si>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</si>
  <si>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</si>
  <si>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</si>
  <si>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</si>
  <si>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</si>
  <si>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</si>
  <si>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</si>
  <si>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</si>
  <si>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</si>
  <si>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</si>
  <si>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</si>
  <si>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</si>
  <si>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</si>
  <si>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</si>
  <si>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</si>
  <si>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</si>
  <si>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</si>
  <si>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</si>
  <si>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</si>
  <si>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</si>
  <si>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</si>
  <si>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</si>
  <si>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</si>
  <si>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</si>
  <si>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</si>
  <si>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</si>
  <si>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</si>
  <si>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</si>
  <si>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</si>
  <si>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</si>
  <si>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</si>
  <si>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</si>
  <si>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</si>
  <si>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</si>
  <si>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</si>
  <si>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</si>
  <si>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</si>
  <si>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</si>
  <si>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</si>
  <si>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</si>
  <si>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</si>
  <si>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</si>
  <si>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</si>
  <si>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</si>
  <si>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</si>
  <si>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</si>
  <si>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</si>
  <si>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</si>
  <si>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</si>
  <si>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</si>
  <si>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</si>
  <si>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</si>
  <si>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</si>
  <si>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</si>
  <si>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</si>
  <si>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</si>
  <si>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</si>
  <si>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</si>
  <si>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</si>
  <si>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</si>
  <si>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</si>
  <si>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</si>
  <si>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</si>
  <si>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</si>
  <si>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</si>
  <si>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</si>
  <si>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</si>
  <si>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</si>
  <si>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</si>
  <si>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</si>
  <si>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</si>
  <si>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</si>
  <si>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</si>
  <si>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</si>
  <si>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</si>
  <si>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</si>
  <si>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</si>
  <si>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</si>
  <si>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</si>
  <si>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</si>
  <si>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</si>
  <si>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</si>
  <si>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</si>
  <si>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</si>
  <si>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</si>
  <si>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</si>
  <si>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</si>
  <si>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</si>
  <si>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</si>
  <si>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</si>
  <si>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</si>
  <si>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</si>
  <si>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</si>
  <si>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</si>
  <si>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</si>
  <si>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</si>
  <si>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</si>
  <si>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</si>
  <si>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</si>
  <si>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</si>
  <si>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</si>
  <si>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</si>
  <si>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</si>
  <si>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</si>
  <si>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</si>
  <si>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</si>
  <si>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</si>
  <si>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</si>
  <si>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</si>
  <si>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</si>
  <si>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</si>
  <si>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</si>
  <si>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</si>
  <si>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</si>
  <si>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</si>
  <si>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</si>
  <si>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</si>
  <si>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</si>
  <si>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</si>
  <si>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</si>
  <si>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</si>
  <si>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</si>
  <si>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</si>
  <si>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</si>
  <si>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</si>
  <si>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</si>
  <si>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</si>
  <si>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</si>
  <si>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</si>
  <si>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</si>
  <si>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</si>
  <si>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</si>
  <si>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</si>
  <si>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</si>
  <si>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</si>
  <si>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</si>
  <si>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</si>
  <si>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</si>
  <si>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</si>
  <si>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</si>
  <si>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</si>
  <si>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</si>
  <si>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</si>
  <si>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</si>
  <si>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</si>
  <si>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</si>
  <si>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</si>
  <si>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</si>
  <si>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</si>
  <si>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</si>
  <si>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</si>
  <si>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</si>
  <si>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</si>
  <si>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</si>
  <si>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</si>
  <si>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</si>
  <si>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</si>
  <si>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</si>
  <si>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</si>
  <si>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</si>
  <si>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</si>
  <si>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</si>
  <si>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</si>
  <si>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</si>
  <si>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</si>
  <si>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</si>
  <si>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</si>
  <si>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</si>
  <si>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</si>
  <si>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</si>
  <si>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</si>
  <si>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</si>
  <si>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</si>
  <si>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</si>
  <si>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</si>
  <si>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</si>
  <si>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</si>
  <si>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</si>
  <si>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</si>
  <si>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</si>
  <si>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</si>
  <si>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</si>
  <si>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</si>
  <si>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</si>
  <si>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</si>
  <si>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</si>
  <si>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</si>
  <si>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</si>
  <si>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</si>
  <si>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</si>
  <si>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</si>
  <si>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</si>
  <si>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</si>
  <si>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</si>
  <si>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</si>
  <si>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</si>
  <si>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</si>
  <si>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</si>
  <si>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</si>
  <si>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</si>
  <si>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</si>
  <si>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</si>
  <si>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</si>
  <si>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</si>
  <si>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</si>
  <si>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</si>
  <si>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</si>
  <si>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</si>
  <si>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</si>
  <si>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</si>
  <si>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</si>
  <si>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</si>
  <si>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</si>
  <si>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</si>
  <si>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</si>
  <si>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</si>
  <si>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</si>
  <si>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</si>
  <si>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</si>
  <si>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</si>
  <si>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</si>
  <si>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</si>
  <si>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</si>
  <si>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</si>
  <si>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</si>
  <si>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</si>
  <si>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</si>
  <si>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</si>
  <si>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</si>
  <si>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</si>
  <si>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</si>
  <si>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</si>
  <si>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</si>
  <si>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</si>
  <si>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</si>
  <si>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</si>
  <si>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</si>
  <si>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</si>
  <si>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</si>
  <si>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</si>
  <si>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</si>
  <si>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</si>
  <si>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</si>
  <si>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</si>
  <si>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</si>
  <si>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</si>
  <si>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</si>
  <si>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</si>
  <si>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</si>
  <si>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</si>
  <si>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</si>
  <si>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</si>
  <si>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</si>
  <si>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</si>
  <si>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</si>
  <si>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</si>
  <si>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</si>
  <si>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</si>
  <si>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</si>
  <si>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</si>
  <si>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</si>
  <si>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</si>
  <si>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</si>
  <si>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</si>
  <si>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</si>
  <si>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</si>
  <si>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</si>
  <si>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</si>
  <si>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</si>
  <si>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</si>
  <si>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</si>
  <si>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</si>
  <si>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</si>
  <si>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</si>
  <si>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</si>
  <si>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</si>
  <si>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</si>
  <si>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</si>
  <si>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</si>
  <si>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</si>
  <si>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</si>
  <si>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</si>
  <si>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</si>
  <si>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</si>
  <si>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</si>
  <si>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</si>
  <si>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</si>
  <si>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</si>
  <si>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</si>
  <si>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</si>
  <si>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</si>
  <si>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</si>
  <si>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</si>
  <si>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</si>
  <si>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</si>
  <si>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</si>
  <si>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</si>
  <si>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</si>
  <si>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</si>
  <si>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</si>
  <si>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</si>
  <si>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</si>
  <si>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</si>
  <si>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</si>
  <si>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</si>
  <si>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</si>
  <si>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</si>
  <si>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</si>
  <si>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</si>
  <si>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</si>
  <si>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</si>
  <si>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</si>
  <si>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</si>
  <si>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</si>
  <si>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</si>
  <si>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</si>
  <si>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</si>
  <si>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</si>
  <si>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</si>
  <si>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</si>
  <si>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</si>
  <si>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</si>
  <si>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</si>
  <si>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</si>
  <si>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</si>
  <si>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</si>
  <si>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</si>
  <si>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</si>
  <si>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</si>
  <si>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</si>
  <si>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</si>
  <si>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</si>
  <si>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</si>
  <si>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</si>
  <si>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</si>
  <si>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</si>
  <si>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</si>
  <si>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</si>
  <si>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</si>
  <si>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</si>
  <si>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</si>
  <si>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</si>
  <si>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</si>
  <si>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</si>
  <si>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</si>
  <si>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</si>
  <si>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</si>
  <si>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</si>
  <si>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</si>
  <si>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</si>
  <si>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</si>
  <si>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</si>
  <si>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</si>
  <si>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</si>
  <si>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</si>
  <si>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</si>
  <si>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</si>
  <si>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</si>
  <si>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</si>
  <si>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</si>
  <si>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</si>
  <si>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</si>
  <si>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</si>
  <si>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</si>
  <si>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</si>
  <si>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</si>
  <si>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</si>
  <si>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</si>
  <si>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</si>
  <si>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</si>
  <si>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</si>
  <si>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</si>
  <si>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</si>
  <si>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</si>
  <si>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</si>
  <si>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</si>
  <si>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</si>
  <si>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</si>
  <si>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</si>
  <si>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</si>
  <si>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</si>
  <si>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</si>
  <si>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</si>
  <si>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</si>
  <si>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</si>
  <si>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</si>
  <si>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</si>
  <si>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</si>
  <si>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</si>
  <si>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</si>
  <si>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</si>
  <si>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</si>
  <si>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</si>
  <si>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</si>
  <si>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</si>
  <si>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</si>
  <si>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</si>
  <si>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</si>
  <si>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</si>
  <si>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</si>
  <si>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</si>
  <si>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</si>
  <si>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</si>
  <si>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</si>
  <si>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</si>
  <si>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</si>
  <si>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</si>
  <si>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</si>
  <si>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</si>
  <si>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</si>
  <si>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</si>
  <si>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</si>
  <si>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</si>
  <si>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</si>
  <si>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</si>
  <si>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</si>
  <si>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</si>
  <si>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</si>
  <si>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</si>
  <si>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</si>
  <si>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</si>
  <si>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</si>
  <si>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</si>
  <si>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</si>
  <si>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</si>
  <si>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</si>
  <si>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</si>
  <si>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</si>
  <si>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</si>
  <si>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</si>
  <si>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</si>
  <si>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</si>
  <si>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</si>
  <si>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</si>
  <si>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</si>
  <si>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</si>
  <si>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</si>
  <si>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</si>
  <si>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</si>
  <si>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</si>
  <si>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</si>
  <si>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</si>
  <si>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</si>
  <si>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</si>
  <si>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</si>
  <si>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</si>
  <si>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</si>
  <si>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</si>
  <si>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</si>
  <si>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</si>
  <si>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</si>
  <si>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</si>
  <si>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</si>
  <si>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</si>
  <si>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</si>
  <si>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</si>
  <si>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</si>
  <si>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</si>
  <si>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</si>
  <si>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</si>
  <si>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</si>
  <si>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</si>
  <si>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</si>
  <si>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</si>
  <si>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</si>
  <si>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</si>
  <si>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</si>
  <si>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</si>
  <si>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</si>
  <si>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</si>
  <si>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</si>
  <si>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</si>
  <si>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</si>
  <si>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</si>
  <si>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</si>
  <si>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</si>
  <si>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</si>
  <si>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</si>
  <si>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</si>
  <si>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</si>
  <si>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</si>
  <si>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</si>
  <si>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</si>
  <si>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</si>
  <si>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</si>
  <si>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</si>
  <si>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</si>
  <si>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</si>
  <si>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</si>
  <si>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</si>
  <si>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</si>
  <si>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</si>
  <si>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</si>
  <si>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</si>
  <si>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</si>
  <si>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</si>
  <si>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</si>
  <si>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</si>
  <si>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</si>
  <si>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</si>
  <si>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</si>
  <si>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</si>
  <si>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</si>
  <si>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</si>
  <si>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</si>
  <si>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</si>
  <si>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</si>
  <si>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</si>
  <si>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</si>
  <si>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</si>
  <si>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</si>
  <si>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</si>
  <si>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</si>
  <si>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</si>
  <si>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</si>
  <si>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</si>
  <si>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</si>
  <si>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</si>
  <si>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</si>
  <si>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</si>
  <si>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</si>
  <si>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</si>
  <si>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</si>
  <si>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</si>
  <si>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</si>
  <si>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</si>
  <si>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</si>
  <si>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</si>
  <si>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</si>
  <si>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</si>
  <si>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</si>
  <si>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</si>
  <si>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</si>
  <si>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</si>
  <si>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</si>
  <si>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</si>
  <si>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</si>
  <si>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</si>
  <si>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</si>
  <si>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</si>
  <si>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</si>
  <si>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</si>
  <si>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</si>
  <si>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</si>
  <si>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</si>
  <si>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</si>
  <si>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</si>
  <si>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</si>
  <si>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</si>
  <si>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</si>
  <si>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</si>
  <si>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</si>
  <si>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</si>
  <si>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</si>
  <si>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</si>
  <si>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</si>
  <si>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</si>
  <si>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</si>
  <si>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</si>
  <si>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</si>
  <si>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</si>
  <si>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</si>
  <si>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</si>
  <si>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</si>
  <si>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</si>
  <si>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</si>
  <si>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</si>
  <si>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</si>
  <si>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</si>
  <si>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</si>
  <si>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</si>
  <si>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</si>
  <si>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</si>
  <si>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</si>
  <si>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</si>
  <si>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</si>
  <si>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</si>
  <si>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</si>
  <si>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</si>
  <si>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</si>
  <si>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</si>
  <si>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</si>
  <si>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</si>
  <si>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</si>
  <si>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</si>
  <si>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</si>
  <si>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</si>
  <si>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</si>
  <si>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</si>
  <si>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</si>
  <si>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</si>
  <si>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</si>
  <si>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</si>
  <si>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</si>
  <si>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</si>
  <si>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</si>
  <si>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</si>
  <si>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</si>
  <si>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</si>
  <si>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</si>
  <si>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</si>
  <si>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</si>
  <si>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</si>
  <si>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</si>
  <si>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</si>
  <si>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</si>
  <si>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</si>
  <si>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</si>
  <si>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</si>
  <si>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</si>
  <si>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</si>
  <si>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</si>
  <si>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</si>
  <si>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</si>
  <si>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</si>
  <si>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</si>
  <si>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</si>
  <si>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</si>
  <si>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</si>
  <si>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</si>
  <si>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</si>
  <si>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</si>
  <si>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</si>
  <si>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</si>
  <si>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</si>
  <si>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</si>
  <si>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</si>
  <si>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</si>
  <si>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</si>
  <si>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</si>
  <si>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</si>
  <si>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</si>
  <si>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</si>
  <si>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</si>
  <si>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</si>
  <si>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</si>
  <si>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</si>
  <si>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</si>
  <si>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</si>
  <si>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</si>
  <si>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</si>
  <si>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</si>
  <si>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</si>
  <si>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</si>
  <si>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</si>
  <si>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</si>
  <si>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</si>
  <si>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</si>
  <si>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</si>
  <si>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</si>
  <si>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</si>
  <si>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</si>
  <si>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</si>
  <si>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</si>
  <si>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</si>
  <si>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</si>
  <si>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</si>
  <si>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</si>
  <si>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</si>
  <si>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</si>
  <si>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</si>
  <si>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</si>
  <si>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</si>
  <si>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</si>
  <si>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</si>
  <si>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</si>
  <si>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</si>
  <si>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</si>
  <si>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</si>
  <si>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</si>
  <si>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</si>
  <si>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</si>
  <si>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</si>
  <si>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</si>
  <si>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</si>
  <si>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</si>
  <si>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</si>
  <si>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</si>
  <si>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</si>
  <si>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</si>
  <si>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</si>
  <si>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</si>
  <si>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</si>
  <si>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</si>
  <si>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</si>
  <si>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</si>
  <si>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</si>
  <si>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</si>
  <si>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</si>
  <si>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</si>
  <si>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</si>
  <si>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</si>
  <si>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</si>
  <si>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</si>
  <si>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</si>
  <si>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</si>
  <si>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</si>
  <si>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</si>
  <si>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</si>
  <si>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</si>
  <si>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</si>
  <si>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</si>
  <si>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</si>
  <si>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</si>
  <si>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</si>
  <si>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</si>
  <si>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</si>
  <si>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</si>
  <si>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</si>
  <si>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</si>
  <si>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</si>
  <si>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</si>
  <si>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</si>
  <si>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</si>
  <si>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</si>
  <si>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</si>
  <si>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</si>
  <si>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</si>
  <si>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</si>
  <si>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</si>
  <si>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</si>
  <si>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</si>
  <si>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</si>
  <si>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</si>
  <si>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</si>
  <si>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</si>
  <si>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</si>
  <si>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</si>
  <si>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</si>
  <si>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</si>
  <si>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</si>
  <si>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</si>
  <si>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</si>
  <si>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</si>
  <si>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</si>
  <si>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</si>
  <si>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</si>
  <si>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</si>
  <si>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</si>
  <si>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</si>
  <si>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</si>
  <si>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</si>
  <si>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</si>
  <si>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</si>
  <si>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</si>
  <si>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</si>
  <si>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</si>
  <si>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</si>
  <si>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</si>
  <si>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</si>
  <si>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</si>
  <si>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</si>
  <si>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</si>
  <si>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</si>
  <si>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</si>
  <si>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</si>
  <si>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</si>
  <si>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</si>
  <si>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</si>
  <si>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</si>
  <si>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</si>
  <si>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</si>
  <si>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</si>
  <si>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</si>
  <si>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</si>
  <si>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</si>
  <si>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</si>
  <si>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</si>
  <si>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</si>
  <si>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</si>
  <si>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</si>
  <si>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</si>
  <si>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</si>
  <si>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</si>
  <si>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</si>
  <si>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</si>
  <si>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</si>
  <si>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</si>
  <si>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</si>
  <si>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</si>
  <si>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</si>
  <si>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</si>
  <si>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</si>
  <si>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</si>
  <si>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</si>
  <si>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</si>
  <si>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</si>
  <si>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</si>
  <si>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</si>
  <si>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</si>
  <si>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</si>
  <si>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</si>
  <si>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</si>
  <si>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</si>
  <si>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</si>
  <si>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</si>
  <si>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</si>
  <si>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</si>
  <si>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</si>
  <si>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</si>
  <si>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</si>
  <si>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</si>
  <si>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</si>
  <si>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</si>
  <si>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</si>
  <si>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</si>
  <si>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</si>
  <si>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</si>
  <si>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</si>
  <si>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</si>
  <si>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</si>
  <si>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</si>
  <si>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</si>
  <si>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</si>
  <si>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</si>
  <si>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</si>
  <si>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</si>
  <si>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</si>
  <si>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</si>
  <si>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</si>
  <si>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</si>
  <si>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</si>
  <si>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</si>
  <si>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</si>
  <si>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</si>
  <si>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</si>
  <si>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</si>
  <si>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</si>
  <si>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</si>
  <si>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</si>
  <si>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</si>
  <si>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</si>
  <si>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</si>
  <si>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</si>
  <si>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</si>
  <si>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</si>
  <si>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</si>
  <si>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</si>
  <si>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</si>
  <si>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</si>
  <si>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</si>
  <si>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</si>
  <si>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</si>
  <si>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</si>
  <si>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</si>
  <si>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</si>
  <si>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</si>
  <si>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</si>
  <si>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</si>
  <si>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</si>
  <si>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</si>
  <si>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</si>
  <si>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</si>
  <si>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</si>
  <si>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</si>
  <si>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</si>
  <si>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</si>
  <si>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</si>
  <si>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</si>
  <si>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</si>
  <si>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</si>
  <si>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</si>
  <si>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</si>
  <si>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</si>
  <si>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</si>
  <si>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</si>
  <si>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</si>
  <si>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</si>
  <si>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</si>
  <si>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</si>
  <si>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</si>
  <si>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</si>
  <si>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</si>
  <si>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</si>
  <si>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</si>
  <si>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</si>
  <si>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</si>
  <si>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</si>
  <si>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</si>
  <si>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</si>
  <si>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</si>
  <si>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</si>
  <si>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</si>
  <si>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</si>
  <si>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</si>
  <si>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</si>
  <si>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</si>
  <si>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</si>
  <si>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</si>
  <si>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</si>
  <si>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</si>
  <si>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</si>
  <si>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</si>
  <si>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</si>
  <si>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</si>
  <si>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</si>
  <si>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</si>
  <si>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</si>
  <si>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</si>
  <si>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</si>
  <si>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</si>
  <si>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</si>
  <si>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</si>
  <si>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</si>
  <si>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</si>
  <si>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</si>
  <si>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</si>
  <si>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</si>
  <si>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</si>
  <si>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</si>
  <si>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</si>
  <si>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</si>
  <si>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</si>
  <si>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</si>
  <si>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</si>
  <si>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</si>
  <si>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</si>
  <si>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</si>
  <si>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</si>
  <si>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</si>
  <si>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</si>
  <si>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</si>
  <si>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</si>
  <si>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</si>
  <si>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</si>
  <si>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</si>
  <si>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</si>
  <si>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</si>
  <si>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</si>
  <si>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</si>
  <si>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</si>
  <si>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</si>
  <si>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</si>
  <si>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</si>
  <si>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</si>
  <si>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</si>
  <si>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</si>
  <si>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</si>
  <si>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</si>
  <si>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</si>
  <si>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</si>
  <si>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</si>
  <si>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</si>
  <si>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</si>
  <si>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</si>
  <si>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</si>
  <si>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</si>
  <si>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</si>
  <si>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</si>
  <si>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</si>
  <si>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</si>
  <si>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</si>
  <si>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</si>
  <si>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</si>
  <si>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</si>
  <si>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</si>
  <si>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</si>
  <si>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</si>
  <si>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</si>
  <si>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</si>
  <si>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</si>
  <si>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</si>
  <si>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</si>
  <si>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</si>
  <si>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</si>
  <si>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</si>
  <si>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</si>
  <si>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</si>
  <si>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</si>
  <si>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</si>
  <si>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</si>
  <si>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</si>
  <si>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</si>
  <si>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</si>
  <si>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</si>
  <si>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</si>
  <si>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</si>
  <si>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</si>
  <si>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</si>
  <si>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</si>
  <si>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</si>
  <si>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</si>
  <si>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</si>
  <si>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</si>
  <si>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</si>
  <si>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</si>
  <si>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</si>
  <si>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</si>
  <si>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</si>
  <si>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</si>
  <si>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</si>
  <si>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</si>
  <si>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</si>
  <si>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</si>
  <si>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</si>
  <si>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</si>
  <si>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</si>
  <si>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</si>
  <si>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</si>
  <si>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</si>
  <si>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</si>
  <si>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</si>
  <si>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</si>
  <si>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</si>
  <si>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</si>
  <si>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</si>
  <si>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</si>
  <si>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</si>
  <si>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</si>
  <si>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</si>
  <si>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</si>
  <si>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</si>
  <si>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</si>
  <si>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</si>
  <si>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</si>
  <si>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</si>
  <si>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</si>
  <si>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</si>
  <si>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</si>
  <si>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</si>
  <si>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</si>
  <si>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</si>
  <si>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</si>
  <si>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</si>
  <si>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</si>
  <si>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</si>
  <si>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</si>
  <si>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</si>
  <si>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</si>
  <si>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</si>
  <si>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</si>
  <si>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</si>
  <si>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</si>
  <si>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</si>
  <si>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</si>
  <si>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</si>
  <si>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</si>
  <si>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</si>
  <si>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</si>
  <si>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</si>
  <si>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</si>
  <si>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</si>
  <si>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</si>
  <si>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</si>
  <si>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</si>
  <si>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</si>
  <si>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</si>
  <si>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</si>
  <si>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</si>
  <si>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</si>
  <si>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</si>
  <si>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</si>
  <si>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</si>
  <si>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</si>
  <si>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</si>
  <si>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</si>
  <si>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</si>
  <si>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</si>
  <si>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</si>
  <si>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</si>
  <si>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</si>
  <si>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</si>
  <si>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</si>
  <si>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</si>
  <si>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</si>
  <si>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</si>
  <si>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</si>
  <si>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</si>
  <si>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</si>
  <si>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</si>
  <si>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</si>
  <si>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</si>
  <si>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</si>
  <si>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</si>
  <si>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</si>
  <si>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</si>
  <si>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</si>
  <si>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</si>
  <si>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</si>
  <si>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</si>
  <si>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</si>
  <si>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</si>
  <si>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</si>
  <si>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</si>
  <si>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</si>
  <si>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</si>
  <si>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</si>
  <si>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</si>
  <si>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</si>
  <si>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</si>
  <si>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</si>
  <si>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</si>
  <si>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</si>
  <si>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</si>
  <si>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</si>
  <si>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</si>
  <si>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</si>
  <si>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</si>
  <si>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</si>
  <si>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</si>
  <si>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</si>
  <si>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</si>
  <si>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</si>
  <si>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</si>
  <si>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</si>
  <si>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</si>
  <si>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</si>
  <si>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</si>
  <si>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</si>
  <si>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</si>
  <si>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</si>
  <si>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</si>
  <si>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</si>
  <si>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</si>
  <si>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</si>
  <si>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</si>
  <si>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</si>
  <si>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</si>
  <si>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</si>
  <si>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</si>
  <si>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</si>
  <si>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</si>
  <si>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</si>
  <si>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</si>
  <si>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</si>
  <si>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</si>
  <si>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</si>
  <si>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</si>
  <si>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</si>
  <si>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</si>
  <si>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</si>
  <si>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</si>
  <si>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</si>
  <si>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</si>
  <si>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</si>
  <si>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</si>
  <si>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</si>
  <si>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</si>
  <si>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</si>
  <si>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</si>
  <si>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</si>
  <si>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</si>
  <si>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</si>
  <si>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</si>
  <si>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</si>
  <si>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</si>
  <si>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</si>
  <si>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</si>
  <si>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</si>
  <si>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</si>
  <si>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</si>
  <si>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</si>
  <si>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</si>
  <si>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</si>
  <si>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</si>
  <si>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</si>
  <si>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</si>
  <si>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</si>
  <si>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</si>
  <si>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</si>
  <si>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</si>
  <si>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</si>
  <si>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</si>
  <si>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</si>
  <si>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</si>
  <si>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</si>
  <si>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</si>
  <si>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</si>
  <si>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</si>
  <si>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</si>
  <si>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</si>
  <si>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</si>
  <si>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</si>
  <si>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</si>
  <si>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</si>
  <si>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</si>
  <si>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</si>
  <si>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</si>
  <si>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</si>
  <si>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</si>
  <si>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</si>
  <si>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</si>
  <si>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</si>
  <si>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</si>
  <si>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</si>
  <si>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</si>
  <si>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</si>
  <si>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</si>
  <si>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</si>
  <si>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</si>
  <si>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</si>
  <si>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</si>
  <si>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</si>
  <si>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</si>
  <si>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</si>
  <si>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</si>
  <si>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</si>
  <si>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</si>
  <si>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</si>
  <si>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</si>
  <si>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</si>
  <si>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</si>
  <si>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</si>
  <si>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</si>
  <si>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</si>
  <si>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</si>
  <si>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</si>
  <si>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</si>
  <si>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</si>
  <si>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</si>
  <si>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</si>
  <si>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</si>
  <si>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</si>
  <si>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</si>
  <si>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</si>
  <si>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</si>
  <si>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</si>
  <si>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</si>
  <si>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</si>
  <si>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</si>
  <si>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</si>
  <si>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</si>
  <si>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</si>
  <si>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</si>
  <si>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</si>
  <si>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</si>
  <si>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</si>
  <si>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</si>
  <si>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</si>
  <si>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</si>
  <si>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</si>
  <si>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</si>
  <si>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</si>
  <si>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</si>
  <si>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</si>
  <si>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</si>
  <si>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</si>
  <si>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</si>
  <si>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</si>
  <si>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</si>
  <si>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</si>
  <si>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</si>
  <si>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</si>
  <si>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</si>
  <si>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</si>
  <si>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</si>
  <si>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</si>
  <si>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</si>
  <si>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</si>
  <si>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</si>
  <si>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</si>
  <si>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</si>
  <si>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</si>
  <si>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</si>
  <si>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</si>
  <si>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</si>
  <si>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</si>
  <si>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</si>
  <si>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</si>
  <si>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</si>
  <si>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</si>
  <si>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</si>
  <si>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</si>
  <si>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</si>
  <si>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</si>
  <si>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</si>
  <si>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</si>
  <si>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</si>
  <si>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</si>
  <si>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</si>
  <si>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</si>
  <si>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</si>
  <si>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</si>
  <si>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</si>
  <si>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</si>
  <si>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</si>
  <si>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</si>
  <si>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</si>
  <si>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</si>
  <si>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</si>
  <si>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</si>
  <si>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</si>
  <si>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</si>
  <si>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</si>
  <si>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</si>
  <si>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</si>
  <si>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</si>
  <si>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</si>
  <si>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</si>
  <si>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</si>
  <si>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</si>
  <si>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</si>
  <si>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</si>
  <si>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</si>
  <si>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</si>
  <si>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</si>
  <si>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</si>
  <si>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</si>
  <si>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</si>
  <si>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</si>
  <si>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</si>
  <si>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</si>
  <si>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</si>
  <si>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</si>
  <si>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</si>
  <si>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</si>
  <si>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</si>
  <si>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</si>
  <si>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</si>
  <si>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</si>
  <si>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</si>
  <si>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</si>
  <si>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</si>
  <si>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</si>
  <si>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</si>
  <si>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</si>
  <si>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</si>
  <si>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</si>
  <si>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</si>
  <si>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</si>
  <si>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</si>
  <si>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</si>
  <si>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</si>
  <si>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</si>
  <si>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</si>
  <si>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</si>
  <si>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</si>
  <si>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</si>
  <si>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</si>
  <si>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</si>
  <si>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</si>
  <si>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</si>
  <si>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</si>
  <si>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</si>
  <si>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</si>
  <si>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</si>
  <si>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</si>
  <si>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</si>
  <si>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</si>
  <si>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</si>
  <si>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</si>
  <si>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</si>
  <si>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</si>
  <si>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</si>
  <si>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</si>
  <si>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</si>
  <si>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</si>
  <si>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</si>
  <si>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</si>
  <si>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</si>
  <si>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</si>
  <si>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</si>
  <si>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</si>
  <si>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</si>
  <si>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</si>
  <si>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</si>
  <si>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</si>
  <si>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</si>
  <si>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</si>
  <si>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</si>
  <si>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</si>
  <si>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</si>
  <si>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</si>
  <si>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</si>
  <si>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</si>
  <si>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</si>
  <si>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</si>
  <si>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</si>
  <si>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</si>
  <si>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</si>
  <si>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</si>
  <si>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</si>
  <si>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</si>
  <si>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</si>
  <si>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</si>
  <si>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</si>
  <si>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</si>
  <si>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</si>
  <si>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</si>
  <si>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</si>
  <si>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</si>
  <si>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</si>
  <si>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</si>
  <si>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</si>
  <si>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</si>
  <si>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</si>
  <si>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</si>
  <si>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</si>
  <si>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</si>
  <si>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</si>
  <si>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</si>
  <si>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</si>
  <si>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</si>
  <si>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</si>
  <si>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</si>
  <si>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</si>
  <si>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</si>
  <si>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</si>
  <si>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</si>
  <si>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</si>
  <si>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</si>
  <si>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</si>
  <si>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</si>
  <si>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</si>
  <si>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</si>
  <si>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</si>
  <si>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</si>
  <si>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</si>
  <si>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</si>
  <si>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</si>
  <si>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</si>
  <si>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</si>
  <si>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</si>
  <si>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</si>
  <si>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</si>
  <si>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</si>
  <si>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</si>
  <si>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</si>
  <si>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</si>
  <si>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</si>
  <si>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</si>
  <si>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</si>
  <si>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</si>
  <si>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</si>
  <si>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</si>
  <si>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</si>
  <si>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</si>
  <si>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</si>
  <si>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</si>
  <si>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</si>
  <si>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</si>
  <si>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</si>
  <si>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</si>
  <si>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</si>
  <si>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</si>
  <si>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</si>
  <si>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</si>
  <si>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</si>
  <si>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</si>
  <si>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</si>
  <si>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</si>
  <si>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</si>
  <si>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</si>
  <si>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</si>
  <si>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</si>
  <si>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</si>
  <si>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</si>
  <si>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</si>
  <si>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</si>
  <si>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</si>
  <si>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</si>
  <si>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</si>
  <si>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</si>
  <si>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</si>
  <si>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</si>
  <si>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</si>
  <si>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</si>
  <si>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</si>
  <si>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</si>
  <si>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</si>
  <si>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</si>
  <si>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</si>
  <si>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</si>
  <si>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</si>
  <si>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</si>
  <si>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</si>
  <si>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</si>
  <si>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</si>
  <si>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</si>
  <si>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</si>
  <si>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</si>
  <si>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</si>
  <si>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</si>
  <si>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</si>
  <si>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</si>
  <si>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</si>
  <si>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</si>
  <si>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</si>
  <si>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</si>
  <si>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</si>
  <si>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</si>
  <si>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</si>
  <si>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</si>
  <si>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</si>
  <si>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</si>
  <si>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</si>
  <si>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</si>
  <si>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</si>
  <si>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</si>
  <si>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</si>
  <si>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</si>
  <si>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</si>
  <si>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</si>
  <si>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</si>
  <si>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</si>
  <si>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</si>
  <si>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</si>
  <si>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</si>
  <si>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</si>
  <si>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</si>
  <si>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</si>
  <si>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</si>
  <si>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</si>
  <si>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</si>
  <si>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</si>
  <si>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</si>
  <si>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</si>
  <si>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</si>
  <si>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</si>
  <si>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</si>
  <si>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</si>
  <si>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</si>
  <si>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</si>
  <si>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</si>
  <si>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</si>
  <si>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</si>
  <si>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</si>
  <si>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</si>
  <si>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</si>
  <si>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</si>
  <si>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</si>
  <si>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</si>
  <si>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</si>
  <si>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</si>
  <si>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</si>
  <si>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</si>
  <si>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</si>
  <si>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</si>
  <si>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</si>
  <si>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</si>
  <si>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</si>
  <si>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</si>
  <si>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</si>
  <si>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</si>
  <si>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</si>
  <si>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</si>
  <si>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</si>
  <si>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</si>
  <si>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</si>
  <si>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</si>
  <si>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</si>
  <si>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</si>
  <si>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</si>
  <si>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</si>
  <si>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</si>
  <si>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</si>
  <si>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</si>
  <si>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</si>
  <si>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</si>
  <si>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</si>
  <si>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</si>
  <si>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</si>
  <si>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</si>
  <si>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</si>
  <si>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</si>
  <si>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</si>
  <si>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</si>
  <si>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</si>
  <si>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</si>
  <si>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</si>
  <si>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</si>
  <si>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</si>
  <si>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</si>
  <si>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</si>
  <si>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</si>
  <si>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</si>
  <si>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</si>
  <si>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</si>
  <si>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</si>
  <si>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</si>
  <si>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</si>
  <si>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</si>
  <si>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</si>
  <si>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</si>
  <si>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</si>
  <si>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</si>
  <si>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</si>
  <si>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</si>
  <si>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</si>
  <si>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</si>
  <si>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</si>
  <si>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</si>
  <si>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</si>
  <si>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</si>
  <si>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</si>
  <si>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</si>
  <si>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</si>
  <si>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</si>
  <si>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</si>
  <si>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</si>
  <si>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</si>
  <si>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</si>
  <si>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</si>
  <si>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</si>
  <si>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</si>
  <si>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</si>
  <si>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</si>
  <si>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</si>
  <si>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</si>
  <si>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</si>
  <si>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</si>
  <si>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</si>
  <si>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</si>
  <si>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</si>
  <si>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</si>
  <si>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</si>
  <si>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</si>
  <si>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</si>
  <si>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</si>
  <si>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</si>
  <si>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</si>
  <si>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</si>
  <si>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</si>
  <si>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</si>
  <si>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</si>
  <si>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</si>
  <si>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</si>
  <si>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</si>
  <si>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</si>
  <si>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</si>
  <si>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</si>
  <si>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</si>
  <si>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</si>
  <si>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</si>
  <si>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</si>
  <si>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</si>
  <si>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</si>
  <si>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</si>
  <si>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</si>
  <si>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</si>
  <si>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</si>
  <si>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</si>
  <si>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</si>
  <si>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</si>
  <si>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</si>
  <si>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</si>
  <si>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</si>
  <si>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</si>
  <si>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</si>
  <si>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</si>
  <si>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</si>
  <si>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</si>
  <si>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</si>
  <si>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</si>
  <si>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</si>
  <si>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</si>
  <si>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</si>
  <si>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</si>
  <si>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</si>
  <si>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</si>
  <si>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</si>
  <si>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</si>
  <si>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</si>
  <si>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</si>
  <si>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</si>
  <si>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</si>
  <si>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</si>
  <si>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</si>
  <si>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</si>
  <si>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</si>
  <si>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</si>
  <si>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</si>
  <si>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</si>
  <si>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</si>
  <si>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</si>
  <si>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</si>
  <si>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</si>
  <si>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</si>
  <si>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</si>
  <si>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</si>
  <si>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</si>
  <si>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</si>
  <si>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</si>
  <si>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</si>
  <si>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</si>
  <si>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</si>
  <si>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</si>
  <si>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</si>
  <si>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</si>
  <si>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</si>
  <si>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</si>
  <si>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</si>
  <si>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</si>
  <si>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</si>
  <si>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</si>
  <si>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</si>
  <si>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</si>
  <si>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</si>
  <si>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</si>
  <si>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</si>
  <si>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</si>
  <si>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</si>
  <si>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</si>
  <si>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</si>
  <si>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</si>
  <si>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</si>
  <si>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</si>
  <si>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</si>
  <si>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</si>
  <si>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</si>
  <si>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</si>
  <si>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</si>
  <si>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</si>
  <si>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</si>
  <si>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</si>
  <si>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</si>
  <si>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</si>
  <si>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</si>
  <si>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</si>
  <si>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</si>
  <si>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</si>
  <si>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</si>
  <si>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</si>
  <si>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</si>
  <si>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</si>
  <si>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</si>
  <si>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</si>
  <si>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</si>
  <si>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</si>
  <si>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</si>
  <si>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</si>
  <si>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</si>
  <si>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</si>
  <si>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</si>
  <si>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</si>
  <si>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</si>
  <si>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</si>
  <si>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</si>
  <si>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</si>
  <si>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</si>
  <si>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</si>
  <si>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</si>
  <si>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</si>
  <si>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</si>
  <si>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</si>
  <si>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</si>
  <si>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</si>
  <si>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</si>
  <si>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</si>
  <si>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</si>
  <si>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</si>
  <si>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</si>
  <si>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</si>
  <si>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</si>
  <si>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</si>
  <si>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</si>
  <si>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</si>
  <si>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</si>
  <si>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</si>
  <si>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</si>
  <si>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</si>
  <si>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</si>
  <si>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</si>
  <si>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</si>
  <si>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</si>
  <si>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</si>
  <si>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</si>
  <si>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</si>
  <si>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</si>
  <si>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</si>
  <si>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</si>
  <si>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</si>
  <si>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</si>
  <si>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</si>
  <si>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</si>
  <si>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</si>
  <si>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</si>
  <si>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</si>
  <si>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</si>
  <si>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</si>
  <si>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</si>
  <si>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</si>
  <si>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</si>
  <si>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</si>
  <si>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</si>
  <si>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</si>
  <si>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</si>
  <si>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</si>
  <si>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</si>
  <si>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</si>
  <si>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</si>
  <si>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</si>
  <si>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</si>
  <si>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</si>
  <si>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</si>
  <si>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</si>
  <si>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</si>
  <si>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</si>
  <si>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</si>
  <si>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</si>
  <si>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</si>
  <si>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</si>
  <si>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</si>
  <si>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</si>
  <si>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</si>
  <si>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</si>
  <si>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</si>
  <si>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</si>
  <si>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</si>
  <si>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</si>
  <si>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</si>
  <si>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</si>
  <si>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</si>
  <si>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</si>
  <si>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</si>
  <si>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</si>
  <si>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</si>
  <si>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</si>
  <si>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</si>
  <si>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</si>
  <si>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</si>
  <si>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</si>
  <si>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</si>
  <si>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</si>
  <si>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</si>
  <si>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</si>
  <si>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</si>
  <si>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</si>
  <si>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</si>
  <si>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</si>
  <si>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</si>
  <si>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</si>
  <si>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</si>
  <si>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</si>
  <si>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</si>
  <si>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</si>
  <si>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</si>
  <si>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</si>
  <si>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</si>
  <si>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</si>
  <si>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</si>
  <si>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</si>
  <si>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</si>
  <si>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</si>
  <si>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</si>
  <si>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</si>
  <si>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</si>
  <si>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</si>
  <si>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</si>
  <si>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</si>
  <si>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</si>
  <si>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</si>
  <si>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</si>
  <si>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</si>
  <si>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</si>
  <si>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</si>
  <si>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</si>
  <si>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</si>
  <si>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</si>
  <si>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</si>
  <si>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</si>
  <si>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</si>
  <si>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</si>
  <si>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</si>
  <si>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</si>
  <si>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</si>
  <si>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</si>
  <si>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</si>
  <si>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</si>
  <si>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</si>
  <si>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</si>
  <si>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</si>
  <si>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</si>
  <si>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</si>
  <si>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</si>
  <si>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</si>
  <si>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</si>
  <si>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</si>
  <si>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</si>
  <si>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</si>
  <si>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</si>
  <si>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</si>
  <si>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</si>
  <si>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</si>
  <si>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</si>
  <si>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</si>
  <si>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</si>
  <si>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</si>
  <si>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</si>
  <si>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</si>
  <si>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</si>
  <si>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</si>
  <si>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</si>
  <si>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</si>
  <si>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</si>
  <si>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</si>
  <si>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</si>
  <si>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</si>
  <si>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</si>
  <si>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</si>
  <si>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</si>
  <si>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</si>
  <si>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</si>
  <si>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</si>
  <si>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</si>
  <si>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</si>
  <si>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</si>
  <si>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</si>
  <si>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</si>
  <si>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</si>
  <si>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</si>
  <si>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</si>
  <si>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</si>
  <si>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</si>
  <si>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</si>
  <si>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</si>
  <si>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</si>
  <si>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</si>
  <si>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</si>
  <si>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</si>
  <si>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</si>
  <si>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</si>
  <si>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</si>
  <si>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</si>
  <si>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</si>
  <si>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</si>
  <si>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</si>
  <si>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</si>
  <si>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</si>
  <si>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</si>
  <si>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</si>
  <si>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</si>
  <si>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</si>
  <si>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</si>
  <si>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</si>
  <si>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</si>
  <si>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</si>
  <si>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</si>
  <si>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</si>
  <si>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</si>
  <si>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</si>
  <si>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</si>
  <si>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</si>
  <si>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</si>
  <si>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</si>
  <si>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</si>
  <si>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</si>
  <si>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</si>
  <si>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</si>
  <si>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</si>
  <si>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</si>
  <si>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</si>
  <si>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</si>
  <si>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</si>
  <si>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</si>
  <si>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</si>
  <si>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</si>
  <si>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</si>
  <si>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</si>
  <si>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</si>
  <si>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</si>
  <si>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</si>
  <si>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</si>
  <si>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</si>
  <si>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</si>
  <si>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</si>
  <si>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</si>
  <si>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</si>
  <si>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</si>
  <si>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</si>
  <si>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</si>
  <si>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</si>
  <si>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</si>
  <si>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</si>
  <si>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</si>
  <si>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</si>
  <si>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</si>
  <si>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</si>
  <si>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</si>
  <si>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</si>
  <si>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</si>
  <si>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</si>
  <si>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</si>
  <si>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</si>
  <si>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</si>
  <si>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</si>
  <si>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</si>
  <si>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</si>
  <si>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</si>
  <si>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</si>
  <si>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</si>
  <si>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</si>
  <si>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</si>
  <si>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</si>
  <si>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</si>
  <si>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</si>
  <si>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</si>
  <si>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</si>
  <si>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</si>
  <si>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</si>
  <si>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</si>
  <si>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</si>
  <si>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</si>
  <si>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</si>
  <si>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</si>
  <si>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</si>
  <si>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</si>
  <si>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</si>
  <si>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</si>
  <si>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</si>
  <si>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</si>
  <si>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</si>
  <si>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</si>
  <si>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</si>
  <si>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</si>
  <si>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</si>
  <si>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</si>
  <si>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</si>
  <si>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</si>
  <si>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</si>
  <si>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</si>
  <si>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</si>
  <si>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</si>
  <si>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</si>
  <si>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</si>
  <si>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</si>
  <si>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</si>
  <si>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</si>
  <si>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</si>
  <si>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</si>
  <si>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</si>
  <si>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</si>
  <si>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</si>
  <si>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</si>
  <si>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</si>
  <si>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</si>
  <si>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</si>
  <si>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</si>
  <si>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</si>
  <si>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</si>
  <si>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</si>
  <si>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</si>
  <si>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</si>
  <si>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</si>
  <si>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</si>
  <si>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</si>
  <si>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</si>
  <si>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</si>
  <si>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</si>
  <si>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</si>
  <si>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</si>
  <si>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</si>
  <si>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</si>
  <si>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</si>
  <si>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</si>
  <si>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</si>
  <si>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</si>
  <si>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</si>
  <si>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</si>
  <si>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</si>
  <si>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</si>
  <si>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</si>
  <si>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</si>
  <si>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</si>
  <si>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</si>
  <si>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</si>
  <si>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</si>
  <si>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</si>
  <si>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</si>
  <si>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</si>
  <si>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</si>
  <si>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</si>
  <si>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</si>
  <si>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</si>
  <si>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</si>
  <si>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</si>
  <si>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</si>
  <si>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</si>
  <si>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</si>
  <si>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</si>
  <si>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</si>
  <si>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</si>
  <si>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</si>
  <si>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</si>
  <si>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</si>
  <si>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</si>
  <si>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</si>
  <si>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</si>
  <si>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</si>
  <si>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</si>
  <si>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</si>
  <si>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</si>
  <si>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</si>
  <si>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</si>
  <si>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</si>
  <si>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</si>
  <si>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</si>
  <si>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</si>
  <si>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</si>
  <si>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</si>
  <si>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</si>
  <si>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</si>
  <si>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</si>
  <si>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</si>
  <si>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</si>
  <si>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</si>
  <si>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</si>
  <si>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</si>
  <si>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</si>
  <si>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</si>
  <si>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</si>
  <si>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</si>
  <si>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</si>
  <si>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</si>
  <si>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</si>
  <si>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</si>
  <si>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</si>
  <si>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</si>
  <si>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</si>
  <si>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</si>
  <si>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</si>
  <si>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</si>
  <si>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</si>
  <si>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</si>
  <si>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</si>
  <si>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</si>
  <si>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</si>
  <si>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</si>
  <si>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</si>
  <si>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</si>
  <si>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</si>
  <si>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</si>
  <si>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</si>
  <si>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</si>
  <si>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</si>
  <si>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</si>
  <si>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</si>
  <si>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</si>
  <si>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</si>
  <si>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</si>
  <si>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</si>
  <si>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</si>
  <si>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</si>
  <si>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</si>
  <si>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</si>
  <si>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</si>
  <si>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</si>
  <si>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</si>
  <si>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</si>
  <si>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</si>
  <si>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</si>
  <si>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</si>
  <si>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</si>
  <si>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</si>
  <si>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</si>
  <si>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</si>
  <si>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</si>
  <si>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</si>
  <si>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</si>
  <si>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</si>
  <si>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</si>
  <si>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</si>
  <si>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</si>
  <si>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</si>
  <si>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</si>
  <si>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</si>
  <si>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</si>
  <si>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</si>
  <si>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</si>
  <si>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</si>
  <si>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</si>
  <si>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</si>
  <si>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</si>
  <si>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</si>
  <si>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</si>
  <si>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</si>
  <si>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</si>
  <si>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</si>
  <si>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</si>
  <si>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</si>
  <si>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</si>
  <si>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</si>
  <si>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</si>
  <si>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</si>
  <si>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</si>
  <si>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</si>
  <si>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</si>
  <si>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</si>
  <si>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</si>
  <si>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</si>
  <si>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</si>
  <si>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</si>
  <si>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</si>
  <si>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</si>
  <si>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</si>
  <si>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</si>
  <si>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</si>
  <si>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</si>
  <si>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</si>
  <si>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</si>
  <si>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</si>
  <si>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</si>
  <si>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</si>
  <si>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</si>
  <si>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</si>
  <si>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</si>
  <si>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</si>
  <si>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</si>
  <si>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</si>
  <si>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</si>
  <si>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</si>
  <si>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</si>
  <si>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</si>
  <si>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</si>
  <si>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</si>
  <si>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</si>
  <si>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</si>
  <si>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</si>
  <si>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</si>
  <si>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</si>
  <si>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</si>
  <si>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</si>
  <si>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</si>
  <si>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</si>
  <si>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</si>
  <si>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</si>
  <si>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</si>
  <si>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</si>
  <si>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</si>
  <si>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</si>
  <si>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</si>
  <si>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</si>
  <si>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</si>
  <si>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</si>
  <si>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</si>
  <si>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</si>
  <si>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</si>
  <si>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</si>
  <si>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</si>
  <si>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</si>
  <si>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</si>
  <si>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</si>
  <si>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</si>
  <si>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</si>
  <si>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</si>
  <si>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</si>
  <si>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</si>
  <si>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</si>
  <si>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</si>
  <si>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</si>
  <si>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</si>
  <si>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</si>
  <si>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</si>
  <si>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</si>
  <si>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</si>
  <si>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</si>
  <si>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</si>
  <si>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</si>
  <si>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</si>
  <si>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</si>
  <si>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</si>
  <si>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</si>
  <si>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</si>
  <si>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</si>
  <si>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</si>
  <si>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</si>
  <si>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</si>
  <si>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</si>
  <si>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</si>
  <si>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</si>
  <si>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</si>
  <si>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</si>
  <si>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</si>
  <si>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</si>
  <si>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</si>
  <si>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</si>
  <si>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</si>
  <si>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</si>
  <si>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</si>
  <si>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</si>
  <si>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</si>
  <si>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</si>
  <si>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</si>
  <si>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</si>
  <si>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</si>
  <si>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</si>
  <si>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</si>
  <si>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</si>
  <si>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</si>
  <si>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</si>
  <si>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</si>
  <si>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</si>
  <si>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</si>
  <si>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</si>
  <si>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</si>
  <si>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</si>
  <si>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</si>
  <si>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</si>
  <si>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</si>
  <si>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</si>
  <si>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</si>
  <si>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</si>
  <si>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</si>
  <si>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</si>
  <si>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</si>
  <si>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</si>
  <si>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</si>
  <si>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</si>
  <si>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</si>
  <si>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</si>
  <si>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</si>
  <si>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</si>
  <si>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</si>
  <si>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</si>
  <si>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</si>
  <si>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</si>
  <si>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</si>
  <si>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</si>
  <si>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</si>
  <si>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</si>
  <si>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</si>
  <si>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</si>
  <si>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</si>
  <si>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</si>
  <si>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</si>
  <si>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</si>
  <si>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</si>
  <si>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</si>
  <si>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</si>
  <si>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</si>
  <si>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</si>
  <si>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</si>
  <si>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</si>
  <si>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</si>
  <si>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</si>
  <si>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</si>
  <si>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</si>
  <si>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</si>
  <si>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</si>
  <si>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</si>
  <si>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</si>
  <si>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</si>
  <si>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</si>
  <si>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</si>
  <si>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</si>
  <si>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</si>
  <si>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</si>
  <si>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</si>
  <si>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</si>
  <si>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</si>
  <si>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</si>
  <si>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</si>
  <si>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</si>
  <si>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</si>
  <si>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</si>
  <si>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</si>
  <si>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</si>
  <si>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</si>
  <si>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</si>
  <si>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</si>
  <si>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</si>
  <si>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</si>
  <si>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</si>
  <si>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</si>
  <si>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</si>
  <si>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</si>
  <si>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</si>
  <si>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</si>
  <si>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</si>
  <si>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</si>
  <si>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</si>
  <si>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</si>
  <si>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</si>
  <si>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</si>
  <si>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</si>
  <si>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</si>
  <si>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</si>
  <si>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</si>
  <si>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</si>
  <si>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</si>
  <si>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</si>
  <si>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</si>
  <si>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</si>
  <si>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</si>
  <si>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</si>
  <si>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</si>
  <si>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</si>
  <si>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</si>
  <si>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</si>
  <si>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</si>
  <si>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</si>
  <si>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</si>
  <si>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</si>
  <si>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</si>
  <si>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</si>
  <si>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</si>
  <si>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</si>
  <si>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</si>
  <si>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</si>
  <si>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</si>
  <si>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</si>
  <si>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</si>
  <si>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</si>
  <si>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</si>
  <si>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</si>
  <si>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</si>
  <si>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</si>
  <si>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</si>
  <si>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</si>
  <si>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</si>
  <si>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</si>
  <si>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</si>
  <si>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</si>
  <si>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</si>
  <si>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</si>
  <si>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</si>
  <si>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</si>
  <si>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</si>
  <si>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</si>
  <si>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</si>
  <si>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</si>
  <si>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</si>
  <si>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</si>
  <si>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</si>
  <si>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</si>
  <si>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</si>
  <si>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</si>
  <si>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</si>
  <si>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</si>
  <si>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</si>
  <si>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</si>
  <si>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</si>
  <si>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</si>
  <si>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</si>
  <si>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</si>
  <si>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</si>
  <si>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</si>
  <si>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</si>
  <si>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</si>
  <si>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</si>
  <si>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</si>
  <si>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</si>
  <si>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</si>
  <si>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</si>
  <si>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</si>
  <si>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</si>
  <si>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</si>
  <si>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</si>
  <si>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</si>
  <si>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</si>
  <si>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</si>
  <si>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</si>
  <si>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</si>
  <si>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</si>
  <si>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</si>
  <si>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</si>
  <si>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</si>
  <si>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</si>
  <si>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</si>
  <si>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</si>
  <si>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</si>
  <si>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</si>
  <si>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</si>
  <si>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</si>
  <si>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</si>
  <si>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</si>
  <si>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</si>
  <si>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</si>
  <si>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</si>
  <si>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</si>
  <si>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</si>
  <si>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</si>
  <si>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</si>
  <si>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</si>
  <si>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</si>
  <si>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</si>
  <si>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</si>
  <si>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</si>
  <si>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</si>
  <si>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</si>
  <si>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</si>
  <si>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</si>
  <si>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</si>
  <si>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</si>
  <si>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</si>
  <si>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</si>
  <si>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</si>
  <si>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</si>
  <si>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</si>
  <si>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</si>
  <si>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</si>
  <si>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</si>
  <si>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</si>
  <si>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</si>
  <si>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</si>
  <si>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</si>
  <si>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</si>
  <si>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</si>
  <si>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</si>
  <si>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</si>
  <si>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</si>
  <si>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</si>
  <si>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</si>
  <si>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</si>
  <si>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</si>
  <si>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</si>
  <si>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</si>
  <si>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</si>
  <si>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</si>
  <si>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</si>
  <si>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</si>
  <si>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</si>
  <si>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</si>
  <si>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</si>
  <si>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</si>
  <si>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</si>
  <si>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</si>
  <si>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</si>
  <si>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</si>
  <si>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</si>
  <si>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</si>
  <si>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</si>
  <si>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</si>
  <si>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</si>
  <si>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</si>
  <si>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</si>
  <si>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</si>
  <si>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</si>
  <si>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</si>
  <si>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</si>
  <si>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</si>
  <si>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</si>
  <si>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</si>
  <si>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</si>
  <si>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</si>
  <si>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</si>
  <si>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</si>
  <si>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</si>
  <si>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</si>
  <si>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</si>
  <si>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</si>
  <si>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</si>
  <si>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</si>
  <si>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</si>
  <si>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</si>
  <si>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</si>
  <si>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</si>
  <si>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</si>
  <si>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</si>
  <si>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</si>
  <si>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</si>
  <si>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</si>
  <si>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</si>
  <si>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</si>
  <si>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</si>
  <si>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</si>
  <si>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</si>
  <si>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</si>
  <si>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</si>
  <si>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</si>
  <si>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</si>
  <si>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</si>
  <si>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</si>
  <si>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</si>
  <si>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</si>
  <si>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</si>
  <si>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</si>
  <si>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</si>
  <si>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</si>
  <si>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</si>
  <si>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</si>
  <si>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</si>
  <si>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</si>
  <si>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</si>
  <si>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</si>
  <si>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</si>
  <si>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</si>
  <si>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</si>
  <si>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</si>
  <si>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</si>
  <si>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</si>
  <si>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</si>
  <si>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</si>
  <si>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</si>
  <si>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</si>
  <si>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</si>
  <si>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</si>
  <si>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</si>
  <si>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</si>
  <si>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</si>
  <si>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</si>
  <si>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</si>
  <si>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</si>
  <si>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</si>
  <si>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</si>
  <si>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</si>
  <si>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</si>
  <si>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</si>
  <si>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</si>
  <si>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</si>
  <si>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</si>
  <si>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</si>
  <si>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</si>
  <si>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</si>
  <si>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</si>
  <si>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</si>
  <si>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</si>
  <si>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</si>
  <si>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</si>
  <si>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</si>
  <si>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</si>
  <si>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</si>
  <si>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</si>
  <si>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</si>
  <si>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</si>
  <si>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</si>
  <si>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</si>
  <si>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</si>
  <si>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</si>
  <si>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</si>
  <si>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</si>
  <si>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</si>
  <si>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</si>
  <si>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</si>
  <si>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</si>
  <si>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</si>
  <si>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</si>
  <si>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</si>
  <si>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</si>
  <si>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</si>
  <si>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</si>
  <si>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</si>
  <si>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</si>
  <si>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</si>
  <si>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</si>
  <si>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</si>
  <si>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</si>
  <si>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</si>
  <si>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</si>
  <si>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</si>
  <si>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</si>
  <si>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</si>
  <si>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</si>
  <si>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</si>
  <si>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</si>
  <si>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</si>
  <si>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</si>
  <si>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</si>
  <si>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</si>
  <si>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</si>
  <si>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</si>
  <si>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</si>
  <si>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</si>
  <si>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</si>
  <si>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</si>
  <si>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</si>
  <si>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</si>
  <si>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</si>
  <si>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</si>
  <si>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</si>
  <si>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</si>
  <si>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</si>
  <si>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</si>
  <si>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</si>
  <si>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</si>
  <si>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</si>
  <si>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</si>
  <si>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</si>
  <si>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</si>
  <si>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</si>
  <si>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</si>
  <si>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</si>
  <si>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</si>
  <si>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</si>
  <si>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</si>
  <si>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</si>
  <si>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</si>
  <si>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</si>
  <si>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</si>
  <si>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</si>
  <si>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</si>
  <si>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</si>
  <si>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</si>
  <si>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</si>
  <si>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</si>
  <si>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</si>
  <si>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</si>
  <si>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</si>
  <si>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</si>
  <si>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</si>
  <si>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</si>
  <si>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</si>
  <si>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</si>
  <si>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</si>
  <si>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</si>
  <si>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</si>
  <si>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</si>
  <si>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</si>
  <si>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</si>
  <si>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</si>
  <si>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</si>
  <si>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</si>
  <si>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</si>
  <si>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</si>
  <si>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</si>
  <si>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</si>
  <si>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</si>
  <si>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</si>
  <si>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</si>
  <si>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</si>
  <si>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</si>
  <si>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</si>
  <si>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</si>
  <si>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</si>
  <si>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</si>
  <si>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</si>
  <si>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</si>
  <si>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</si>
  <si>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</si>
  <si>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</si>
  <si>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</si>
  <si>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</si>
  <si>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</si>
  <si>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</si>
  <si>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</si>
  <si>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</si>
  <si>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</si>
  <si>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</si>
  <si>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</si>
  <si>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</si>
  <si>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</si>
  <si>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</si>
  <si>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</si>
  <si>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</si>
  <si>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</si>
  <si>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</si>
  <si>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</si>
  <si>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</si>
  <si>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</si>
  <si>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</si>
  <si>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</si>
  <si>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</si>
  <si>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</si>
  <si>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</si>
  <si>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</si>
  <si>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</si>
  <si>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</si>
  <si>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</si>
  <si>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</si>
  <si>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</si>
  <si>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</si>
  <si>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</si>
  <si>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</si>
  <si>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</si>
  <si>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</si>
  <si>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</si>
  <si>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</si>
  <si>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</si>
  <si>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</si>
  <si>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</si>
  <si>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</si>
  <si>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</si>
  <si>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</si>
  <si>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</si>
  <si>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</si>
  <si>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</si>
  <si>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</si>
  <si>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</si>
  <si>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</si>
  <si>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</si>
  <si>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</si>
  <si>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</si>
  <si>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</si>
  <si>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</si>
  <si>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</si>
  <si>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</si>
  <si>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</si>
  <si>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</si>
  <si>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</si>
  <si>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</si>
  <si>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</si>
  <si>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</si>
  <si>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</si>
  <si>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</si>
  <si>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</si>
  <si>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</si>
  <si>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</si>
  <si>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</si>
  <si>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</si>
  <si>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</si>
  <si>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</si>
  <si>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</si>
  <si>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</si>
  <si>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</si>
  <si>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</si>
  <si>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</si>
  <si>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</si>
  <si>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</si>
  <si>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</si>
  <si>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</si>
  <si>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</si>
  <si>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</si>
  <si>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</si>
  <si>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</si>
  <si>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</si>
  <si>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</si>
  <si>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</si>
  <si>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</si>
  <si>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</si>
  <si>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</si>
  <si>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</si>
  <si>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</si>
  <si>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</si>
  <si>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</si>
  <si>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</si>
  <si>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</si>
  <si>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</si>
  <si>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</si>
  <si>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</si>
  <si>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</si>
  <si>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</si>
  <si>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</si>
  <si>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</si>
  <si>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</si>
  <si>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</si>
  <si>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</si>
  <si>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</si>
  <si>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</si>
  <si>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</si>
  <si>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</si>
  <si>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</si>
  <si>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</si>
  <si>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</si>
  <si>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</si>
  <si>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</si>
  <si>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</si>
  <si>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</si>
  <si>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</si>
  <si>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</si>
  <si>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</si>
  <si>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</si>
  <si>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</si>
  <si>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</si>
  <si>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</si>
  <si>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</si>
  <si>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</si>
  <si>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</si>
  <si>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</si>
  <si>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</si>
  <si>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</si>
  <si>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</si>
  <si>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</si>
  <si>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</si>
  <si>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</si>
  <si>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</si>
  <si>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</si>
  <si>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</si>
  <si>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</si>
  <si>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</si>
  <si>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</si>
  <si>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</si>
  <si>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</si>
  <si>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</si>
  <si>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</si>
  <si>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</si>
  <si>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</si>
  <si>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</si>
  <si>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</si>
  <si>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</si>
  <si>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</si>
  <si>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</si>
  <si>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</si>
  <si>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</si>
  <si>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</si>
  <si>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</si>
  <si>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</si>
  <si>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</si>
  <si>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</si>
  <si>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</si>
  <si>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</si>
  <si>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</si>
  <si>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</si>
  <si>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</si>
  <si>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</si>
  <si>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</si>
  <si>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</si>
  <si>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</si>
  <si>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</si>
  <si>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</si>
  <si>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</si>
  <si>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</si>
  <si>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</si>
  <si>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</si>
  <si>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</si>
  <si>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</si>
  <si>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</si>
  <si>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</si>
  <si>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</si>
  <si>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</si>
  <si>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</si>
  <si>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</si>
  <si>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</si>
  <si>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</si>
  <si>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</si>
  <si>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</si>
  <si>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</si>
  <si>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</si>
  <si>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</si>
  <si>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</si>
  <si>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</si>
  <si>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</si>
  <si>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</si>
  <si>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</si>
  <si>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</si>
  <si>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</si>
  <si>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</si>
  <si>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</si>
  <si>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</si>
  <si>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</si>
  <si>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</si>
  <si>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</si>
  <si>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</si>
  <si>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</si>
  <si>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</si>
  <si>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</si>
  <si>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</si>
  <si>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</si>
  <si>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</si>
  <si>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</si>
  <si>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</si>
  <si>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</si>
  <si>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</si>
  <si>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</si>
  <si>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</si>
  <si>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</si>
  <si>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</si>
  <si>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</si>
  <si>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</si>
  <si>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</si>
  <si>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</si>
  <si>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</si>
  <si>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</si>
  <si>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</si>
  <si>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</si>
  <si>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</si>
  <si>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</si>
  <si>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</si>
  <si>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</si>
  <si>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</si>
  <si>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</si>
  <si>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</si>
  <si>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</si>
  <si>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</si>
  <si>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</si>
  <si>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</si>
  <si>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</si>
  <si>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</si>
  <si>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</si>
  <si>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</si>
  <si>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</si>
  <si>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</si>
  <si>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</si>
  <si>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</si>
  <si>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</si>
  <si>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</si>
  <si>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</si>
  <si>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</si>
  <si>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</si>
  <si>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</si>
  <si>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</si>
  <si>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</si>
  <si>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</si>
  <si>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</si>
  <si>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</si>
  <si>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</si>
  <si>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</si>
  <si>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</si>
  <si>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</si>
  <si>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</si>
  <si>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</si>
  <si>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</si>
  <si>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</si>
  <si>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</si>
  <si>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</si>
  <si>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</si>
  <si>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</si>
  <si>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</si>
  <si>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</si>
  <si>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</si>
  <si>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</si>
  <si>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</si>
  <si>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</si>
  <si>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</si>
  <si>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</si>
  <si>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</si>
  <si>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</si>
  <si>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</si>
  <si>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</si>
  <si>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</si>
  <si>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</si>
  <si>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</si>
  <si>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</si>
  <si>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</si>
  <si>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</si>
  <si>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</si>
  <si>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</si>
  <si>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</si>
  <si>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</si>
  <si>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</si>
  <si>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</si>
  <si>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</si>
  <si>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</si>
  <si>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</si>
  <si>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</si>
  <si>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</si>
  <si>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</si>
  <si>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</si>
  <si>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</si>
  <si>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</si>
  <si>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</si>
  <si>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</si>
  <si>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</si>
  <si>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</si>
  <si>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</si>
  <si>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</si>
  <si>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</si>
  <si>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</si>
  <si>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</si>
  <si>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</si>
  <si>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</si>
  <si>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</si>
  <si>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</si>
  <si>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</si>
  <si>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</si>
  <si>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</si>
  <si>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</si>
  <si>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</si>
  <si>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</si>
  <si>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</si>
  <si>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</si>
  <si>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</si>
  <si>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</si>
  <si>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</si>
  <si>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</si>
  <si>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</si>
  <si>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</si>
  <si>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</si>
  <si>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</si>
  <si>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</si>
  <si>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</si>
  <si>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</si>
  <si>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</si>
  <si>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</si>
  <si>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</si>
  <si>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</si>
  <si>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</si>
  <si>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</si>
  <si>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</si>
  <si>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</si>
  <si>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</si>
  <si>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</si>
  <si>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</si>
  <si>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</si>
  <si>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</si>
  <si>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</si>
  <si>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</si>
  <si>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</si>
  <si>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</si>
  <si>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</si>
  <si>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</si>
  <si>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</si>
  <si>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</si>
  <si>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</si>
  <si>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</si>
  <si>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</si>
  <si>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</si>
  <si>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</si>
  <si>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</si>
  <si>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</si>
  <si>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</si>
  <si>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</si>
  <si>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</si>
  <si>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</si>
  <si>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</si>
  <si>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</si>
  <si>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</si>
  <si>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</si>
  <si>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</si>
  <si>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</si>
  <si>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</si>
  <si>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</si>
  <si>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</si>
  <si>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</si>
  <si>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</si>
  <si>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</si>
  <si>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</si>
  <si>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</si>
  <si>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</si>
  <si>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</si>
  <si>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</si>
  <si>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</si>
  <si>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</si>
  <si>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</si>
  <si>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</si>
  <si>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</si>
  <si>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</si>
  <si>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</si>
  <si>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</si>
  <si>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</si>
  <si>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</si>
  <si>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</si>
  <si>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</si>
  <si>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</si>
  <si>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</si>
  <si>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</si>
  <si>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</si>
  <si>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</si>
  <si>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</si>
  <si>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</si>
  <si>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</si>
  <si>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</si>
  <si>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</si>
  <si>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</si>
  <si>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</si>
  <si>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</si>
  <si>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</si>
  <si>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</si>
  <si>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</si>
  <si>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</si>
  <si>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</si>
  <si>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</si>
  <si>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</si>
  <si>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</si>
  <si>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</si>
  <si>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</si>
  <si>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</si>
  <si>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</si>
  <si>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</si>
  <si>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</si>
  <si>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</si>
  <si>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</si>
  <si>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</si>
  <si>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</si>
  <si>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</si>
  <si>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</si>
  <si>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</si>
  <si>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</si>
  <si>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</si>
  <si>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</si>
  <si>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</si>
  <si>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</si>
  <si>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</si>
  <si>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</si>
  <si>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</si>
  <si>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</si>
  <si>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</si>
  <si>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</si>
  <si>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</si>
  <si>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</si>
  <si>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</si>
  <si>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</si>
  <si>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</si>
  <si>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</si>
  <si>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</si>
  <si>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</si>
  <si>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</si>
  <si>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</si>
  <si>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</si>
  <si>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</si>
  <si>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</si>
  <si>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</si>
  <si>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</si>
  <si>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</si>
  <si>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</si>
  <si>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</si>
  <si>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</si>
  <si>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</si>
  <si>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</si>
  <si>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</si>
  <si>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</si>
  <si>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</si>
  <si>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</si>
  <si>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</si>
  <si>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</si>
  <si>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</si>
  <si>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</si>
  <si>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</si>
  <si>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</si>
  <si>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</si>
  <si>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</si>
  <si>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</si>
  <si>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</si>
  <si>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</si>
  <si>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</si>
  <si>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</si>
  <si>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</si>
  <si>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</si>
  <si>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</si>
  <si>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</si>
  <si>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</si>
  <si>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</si>
  <si>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</si>
  <si>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</si>
  <si>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</si>
  <si>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</si>
  <si>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</si>
  <si>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</si>
  <si>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</si>
  <si>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</si>
  <si>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</si>
  <si>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</si>
  <si>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</si>
  <si>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</si>
  <si>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</si>
  <si>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</si>
  <si>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</si>
  <si>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</si>
  <si>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</si>
  <si>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</si>
  <si>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</si>
  <si>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</si>
  <si>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</si>
  <si>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</si>
  <si>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</si>
  <si>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</si>
  <si>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</si>
  <si>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</si>
  <si>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</si>
  <si>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</si>
  <si>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</si>
  <si>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</si>
  <si>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</si>
  <si>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</si>
  <si>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</si>
  <si>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</si>
  <si>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</si>
  <si>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</si>
  <si>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</si>
  <si>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</si>
  <si>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</si>
  <si>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</si>
  <si>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</si>
  <si>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</si>
  <si>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</si>
  <si>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</si>
  <si>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</si>
  <si>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</si>
  <si>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</si>
  <si>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</si>
  <si>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</si>
  <si>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</si>
  <si>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</si>
  <si>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</si>
  <si>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</si>
  <si>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</si>
  <si>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</si>
  <si>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</si>
  <si>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</si>
  <si>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</si>
  <si>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</si>
  <si>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</si>
  <si>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</si>
  <si>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</si>
  <si>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</si>
  <si>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</si>
  <si>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</si>
  <si>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</si>
  <si>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</si>
  <si>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</si>
  <si>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</si>
  <si>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</si>
  <si>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</si>
  <si>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</si>
  <si>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</si>
  <si>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</si>
  <si>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</si>
  <si>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</si>
  <si>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</si>
  <si>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</si>
  <si>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</si>
  <si>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</si>
  <si>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</si>
  <si>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</si>
  <si>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</si>
  <si>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</si>
  <si>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</si>
  <si>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</si>
  <si>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</si>
  <si>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</si>
  <si>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</si>
  <si>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</si>
  <si>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</si>
  <si>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</si>
  <si>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</si>
  <si>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</si>
  <si>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</si>
  <si>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</si>
  <si>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</si>
  <si>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</si>
  <si>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</si>
  <si>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</si>
  <si>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</si>
  <si>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</si>
  <si>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</si>
  <si>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</si>
  <si>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</si>
  <si>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</si>
  <si>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</si>
  <si>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</si>
  <si>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</si>
  <si>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</si>
  <si>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</si>
  <si>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</si>
  <si>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</si>
  <si>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</si>
  <si>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</si>
  <si>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</si>
  <si>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</si>
  <si>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</si>
  <si>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</si>
  <si>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</si>
  <si>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</si>
  <si>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</si>
  <si>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</si>
  <si>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</si>
  <si>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</si>
  <si>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</si>
  <si>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</si>
  <si>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</si>
  <si>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</si>
  <si>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</si>
  <si>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</si>
  <si>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</si>
  <si>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</si>
  <si>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</si>
  <si>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</si>
  <si>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</si>
  <si>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</si>
  <si>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</si>
  <si>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</si>
  <si>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</si>
  <si>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</si>
  <si>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</si>
  <si>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</si>
  <si>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</si>
  <si>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</si>
  <si>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</si>
  <si>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</si>
  <si>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</si>
  <si>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</si>
  <si>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</si>
  <si>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</si>
  <si>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</si>
  <si>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</si>
  <si>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</si>
  <si>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</si>
  <si>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</si>
  <si>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</si>
  <si>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</si>
  <si>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</si>
  <si>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</si>
  <si>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</si>
  <si>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</si>
  <si>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</si>
  <si>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</si>
  <si>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</si>
  <si>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</si>
  <si>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</si>
  <si>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</si>
  <si>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</si>
  <si>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</si>
  <si>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</si>
  <si>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</si>
  <si>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</si>
  <si>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</si>
  <si>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</si>
  <si>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</si>
  <si>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</si>
  <si>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</si>
  <si>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</si>
  <si>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</si>
  <si>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</si>
  <si>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</si>
  <si>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</si>
  <si>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</si>
  <si>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</si>
  <si>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</si>
  <si>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</si>
  <si>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</si>
  <si>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</si>
  <si>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</si>
  <si>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</si>
  <si>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</si>
  <si>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</si>
  <si>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</si>
  <si>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</si>
  <si>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</si>
  <si>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</si>
  <si>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</si>
  <si>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</si>
  <si>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</si>
  <si>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</si>
  <si>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</si>
  <si>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</si>
  <si>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</si>
  <si>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</si>
  <si>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</si>
  <si>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</si>
  <si>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</si>
  <si>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</si>
  <si>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</si>
  <si>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</si>
  <si>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</si>
  <si>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</si>
  <si>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</si>
  <si>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</si>
  <si>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</si>
  <si>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</si>
  <si>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</si>
  <si>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</si>
  <si>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</si>
  <si>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</si>
  <si>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</si>
  <si>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</si>
  <si>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</si>
  <si>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</si>
  <si>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</si>
  <si>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</si>
  <si>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</si>
  <si>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</si>
  <si>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</si>
  <si>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</si>
  <si>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</si>
  <si>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</si>
  <si>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</si>
  <si>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</si>
  <si>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</si>
  <si>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</si>
  <si>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</si>
  <si>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</si>
  <si>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</si>
  <si>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</si>
  <si>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</si>
  <si>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</si>
  <si>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</si>
  <si>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</si>
  <si>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</si>
  <si>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</si>
  <si>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</si>
  <si>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</si>
  <si>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</si>
  <si>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</si>
  <si>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</si>
  <si>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</si>
  <si>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</si>
  <si>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</si>
  <si>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</si>
  <si>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</si>
  <si>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</si>
  <si>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</si>
  <si>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</si>
  <si>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</si>
  <si>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</si>
  <si>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</si>
  <si>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</si>
  <si>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</si>
  <si>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</si>
  <si>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</si>
  <si>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</si>
  <si>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</si>
  <si>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</si>
  <si>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</si>
  <si>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</si>
  <si>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</si>
  <si>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</si>
  <si>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</si>
  <si>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</si>
  <si>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</si>
  <si>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</si>
  <si>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</si>
  <si>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</si>
  <si>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</si>
  <si>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</si>
  <si>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</si>
  <si>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</si>
  <si>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</si>
  <si>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</si>
  <si>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</si>
  <si>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</si>
  <si>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</si>
  <si>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</si>
  <si>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</si>
  <si>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</si>
  <si>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</si>
  <si>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</si>
  <si>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</si>
  <si>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</si>
  <si>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</si>
  <si>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</si>
  <si>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</si>
  <si>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</si>
  <si>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</si>
  <si>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</si>
  <si>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</si>
  <si>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</si>
  <si>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</si>
  <si>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</si>
  <si>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</si>
  <si>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</si>
  <si>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</si>
  <si>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</si>
  <si>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</si>
  <si>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</si>
  <si>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</si>
  <si>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</si>
  <si>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</si>
  <si>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</si>
  <si>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</si>
  <si>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</si>
  <si>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</si>
  <si>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</si>
  <si>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</si>
  <si>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</si>
  <si>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</si>
  <si>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</si>
  <si>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</si>
  <si>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</si>
  <si>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</si>
  <si>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</si>
  <si>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</si>
  <si>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</si>
  <si>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</si>
  <si>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</si>
  <si>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</si>
  <si>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</si>
  <si>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</si>
  <si>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</si>
  <si>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</si>
  <si>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</si>
  <si>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</si>
  <si>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</si>
  <si>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</si>
  <si>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</si>
  <si>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</si>
  <si>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</si>
  <si>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</si>
  <si>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</si>
  <si>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</si>
  <si>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</si>
  <si>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</si>
  <si>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</si>
  <si>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</si>
  <si>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</si>
  <si>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</si>
  <si>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</si>
  <si>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</si>
  <si>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</si>
  <si>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</si>
  <si>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</si>
  <si>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</si>
  <si>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</si>
  <si>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</si>
  <si>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</si>
  <si>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</si>
  <si>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</si>
  <si>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</si>
  <si>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</si>
  <si>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</si>
  <si>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</si>
  <si>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</si>
  <si>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</si>
  <si>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</si>
  <si>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</si>
  <si>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</si>
  <si>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</si>
  <si>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</si>
  <si>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</si>
  <si>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</si>
  <si>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</si>
  <si>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</si>
  <si>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</si>
  <si>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</si>
  <si>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</si>
  <si>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</si>
  <si>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</si>
  <si>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</si>
  <si>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</si>
  <si>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</si>
  <si>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</si>
  <si>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</si>
  <si>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</si>
  <si>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</si>
  <si>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</si>
  <si>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</si>
  <si>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</si>
  <si>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</si>
  <si>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</si>
  <si>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</si>
  <si>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</si>
  <si>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</si>
  <si>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</si>
  <si>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</si>
  <si>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</si>
  <si>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</si>
  <si>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</si>
  <si>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</si>
  <si>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</si>
  <si>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</si>
  <si>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</si>
  <si>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</si>
  <si>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</si>
  <si>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</si>
  <si>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</si>
  <si>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</si>
  <si>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</si>
  <si>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</si>
  <si>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</si>
  <si>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</si>
  <si>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</si>
  <si>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</si>
  <si>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</si>
  <si>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</si>
  <si>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</si>
  <si>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</si>
  <si>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</si>
  <si>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</si>
  <si>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</si>
  <si>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</si>
  <si>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</si>
  <si>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</si>
  <si>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</si>
  <si>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</si>
  <si>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</si>
  <si>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</si>
  <si>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</si>
  <si>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</si>
  <si>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</si>
  <si>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</si>
  <si>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</si>
  <si>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</si>
  <si>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</si>
  <si>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</si>
  <si>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</si>
  <si>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</si>
  <si>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</si>
  <si>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</si>
  <si>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</si>
  <si>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</si>
  <si>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</si>
  <si>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</si>
  <si>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</si>
  <si>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</si>
  <si>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</si>
  <si>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</si>
  <si>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</si>
  <si>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</si>
  <si>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</si>
  <si>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</si>
  <si>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</si>
  <si>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</si>
  <si>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</si>
  <si>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</si>
  <si>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</si>
  <si>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</si>
  <si>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</si>
  <si>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</si>
  <si>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</si>
  <si>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</si>
  <si>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</si>
  <si>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</si>
  <si>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</si>
  <si>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</si>
  <si>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</si>
  <si>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</si>
  <si>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</si>
  <si>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</si>
  <si>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</si>
  <si>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</si>
  <si>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</si>
  <si>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</si>
  <si>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</si>
  <si>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</si>
  <si>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</si>
  <si>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</si>
  <si>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</si>
  <si>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</si>
  <si>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</si>
  <si>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</si>
  <si>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</si>
  <si>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</si>
  <si>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</si>
  <si>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</si>
  <si>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</si>
  <si>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</si>
  <si>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</si>
  <si>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</si>
  <si>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</si>
  <si>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</si>
  <si>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</si>
  <si>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</si>
  <si>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</si>
  <si>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</si>
  <si>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</si>
  <si>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</si>
  <si>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</si>
  <si>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</si>
  <si>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</si>
  <si>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</si>
  <si>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</si>
  <si>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</si>
  <si>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</si>
  <si>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</si>
  <si>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</si>
  <si>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</si>
  <si>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</si>
  <si>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</si>
  <si>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</si>
  <si>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</si>
  <si>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</si>
  <si>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</si>
  <si>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</si>
  <si>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</si>
  <si>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</si>
  <si>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</si>
  <si>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</si>
  <si>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</si>
  <si>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</si>
  <si>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</si>
  <si>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</si>
  <si>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</si>
  <si>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</si>
  <si>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</si>
  <si>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</si>
  <si>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</si>
  <si>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</si>
  <si>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</si>
  <si>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</si>
  <si>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</si>
  <si>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</si>
  <si>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</si>
  <si>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</si>
  <si>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</si>
  <si>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</si>
  <si>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</si>
  <si>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</si>
  <si>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</si>
  <si>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</si>
  <si>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</si>
  <si>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</si>
  <si>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</si>
  <si>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</si>
  <si>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</si>
  <si>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</si>
  <si>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</si>
  <si>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</si>
  <si>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</si>
  <si>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</si>
  <si>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</si>
  <si>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</si>
  <si>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</si>
  <si>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</si>
  <si>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</si>
  <si>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</si>
  <si>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</si>
  <si>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</si>
  <si>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</si>
  <si>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</si>
  <si>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</si>
  <si>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</si>
  <si>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</si>
  <si>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</si>
  <si>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</si>
  <si>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</si>
  <si>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</si>
  <si>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</si>
  <si>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</si>
  <si>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</si>
  <si>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</si>
  <si>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</si>
  <si>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</si>
  <si>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</si>
  <si>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</si>
  <si>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</si>
  <si>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</si>
  <si>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</si>
  <si>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</si>
  <si>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</si>
  <si>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</si>
  <si>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</si>
  <si>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</si>
  <si>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</si>
  <si>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</si>
  <si>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</si>
  <si>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</si>
  <si>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</si>
  <si>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</si>
  <si>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</si>
  <si>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</si>
  <si>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</si>
  <si>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</si>
  <si>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</si>
  <si>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</si>
  <si>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</si>
  <si>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</si>
  <si>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</si>
  <si>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</si>
  <si>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</si>
  <si>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</si>
  <si>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</si>
  <si>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</si>
  <si>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</si>
  <si>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</si>
  <si>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</si>
  <si>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</si>
  <si>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</si>
  <si>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</si>
  <si>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</si>
  <si>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</si>
  <si>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</si>
  <si>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</si>
  <si>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</si>
  <si>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</si>
  <si>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</si>
  <si>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</si>
  <si>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</si>
  <si>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</si>
  <si>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</si>
  <si>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</si>
  <si>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</si>
  <si>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</si>
  <si>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</si>
  <si>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</si>
  <si>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</si>
  <si>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</si>
  <si>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</si>
  <si>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</si>
  <si>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</si>
  <si>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</si>
  <si>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</si>
  <si>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</si>
  <si>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</si>
  <si>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</si>
  <si>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</si>
  <si>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</si>
  <si>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</si>
  <si>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</si>
  <si>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</si>
  <si>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</si>
  <si>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</si>
  <si>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</si>
  <si>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</si>
  <si>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</si>
  <si>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</si>
  <si>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</si>
  <si>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</si>
  <si>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</si>
  <si>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</si>
  <si>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</si>
  <si>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</si>
  <si>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</si>
  <si>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</si>
  <si>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</si>
  <si>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</si>
  <si>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</si>
  <si>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</si>
  <si>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</si>
  <si>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</si>
  <si>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</si>
  <si>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</si>
  <si>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</si>
  <si>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</si>
  <si>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</si>
  <si>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</si>
  <si>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</si>
  <si>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</si>
  <si>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</si>
  <si>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</si>
  <si>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</si>
  <si>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</si>
  <si>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</si>
  <si>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</si>
  <si>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</si>
  <si>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</si>
  <si>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</si>
  <si>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</si>
  <si>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</si>
  <si>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</si>
  <si>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</si>
  <si>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</si>
  <si>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</si>
  <si>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</si>
  <si>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</si>
  <si>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</si>
  <si>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</si>
  <si>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</si>
  <si>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</si>
  <si>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</si>
  <si>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</si>
  <si>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</si>
  <si>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</si>
  <si>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</si>
  <si>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</si>
  <si>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</si>
  <si>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</si>
  <si>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</si>
  <si>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</si>
  <si>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</si>
  <si>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</si>
  <si>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</si>
  <si>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</si>
  <si>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</si>
  <si>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</si>
  <si>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</si>
  <si>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</si>
  <si>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</si>
  <si>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</si>
  <si>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</si>
  <si>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</si>
  <si>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</si>
  <si>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</si>
  <si>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</si>
  <si>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</si>
  <si>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</si>
  <si>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</si>
  <si>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</si>
  <si>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</si>
  <si>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</si>
  <si>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</si>
  <si>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</si>
  <si>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</si>
  <si>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</si>
  <si>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</si>
  <si>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</si>
  <si>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</si>
  <si>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</si>
  <si>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</si>
  <si>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</si>
  <si>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</si>
  <si>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</si>
  <si>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</si>
  <si>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</si>
  <si>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</si>
  <si>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</si>
  <si>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</si>
  <si>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</si>
  <si>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</si>
  <si>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</si>
  <si>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</si>
  <si>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</si>
  <si>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</si>
  <si>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</si>
  <si>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</si>
  <si>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</si>
  <si>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</si>
  <si>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</si>
  <si>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</si>
  <si>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</si>
  <si>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</si>
  <si>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</si>
  <si>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</si>
  <si>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</si>
  <si>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</si>
  <si>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</si>
  <si>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</si>
  <si>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</si>
  <si>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</si>
  <si>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</si>
  <si>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</si>
  <si>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</si>
  <si>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</si>
  <si>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</si>
  <si>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</si>
  <si>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</si>
  <si>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</si>
  <si>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</si>
  <si>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</si>
  <si>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</si>
  <si>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</si>
  <si>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</si>
  <si>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</si>
  <si>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</si>
  <si>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</si>
  <si>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</si>
  <si>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</si>
  <si>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</si>
  <si>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</si>
  <si>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</si>
  <si>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</si>
  <si>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</si>
  <si>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</si>
  <si>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</si>
  <si>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</si>
  <si>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</si>
  <si>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</si>
  <si>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</si>
  <si>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</si>
  <si>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</si>
  <si>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</si>
  <si>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</si>
  <si>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</si>
  <si>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</si>
  <si>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</si>
  <si>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</si>
  <si>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</si>
  <si>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</si>
  <si>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</si>
  <si>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</si>
  <si>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</si>
  <si>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</si>
  <si>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</si>
  <si>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</si>
  <si>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</si>
  <si>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</si>
  <si>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</si>
  <si>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</si>
  <si>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</si>
  <si>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</si>
  <si>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</si>
  <si>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</si>
  <si>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</si>
  <si>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</si>
  <si>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</si>
  <si>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</si>
  <si>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</si>
  <si>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</si>
  <si>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</si>
  <si>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</si>
  <si>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</si>
  <si>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</si>
  <si>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</si>
  <si>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</si>
  <si>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</si>
  <si>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</si>
  <si>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</si>
  <si>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</si>
  <si>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</si>
  <si>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</si>
  <si>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</si>
  <si>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</si>
  <si>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</si>
  <si>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</si>
  <si>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</si>
  <si>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</si>
  <si>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</si>
  <si>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</si>
  <si>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</si>
  <si>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</si>
  <si>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</si>
  <si>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</si>
  <si>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</si>
  <si>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</si>
  <si>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</si>
  <si>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</si>
  <si>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</si>
  <si>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</si>
  <si>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</si>
  <si>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</si>
  <si>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</si>
  <si>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</si>
  <si>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</si>
  <si>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</si>
  <si>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</si>
  <si>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</si>
  <si>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</si>
  <si>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</si>
  <si>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</si>
  <si>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</si>
  <si>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</si>
  <si>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</si>
  <si>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</si>
  <si>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</si>
  <si>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</si>
  <si>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</si>
  <si>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</si>
  <si>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</si>
  <si>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</si>
  <si>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</si>
  <si>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</si>
  <si>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</si>
  <si>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</si>
  <si>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</si>
  <si>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</si>
  <si>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</si>
  <si>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</si>
  <si>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</si>
  <si>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</si>
  <si>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</si>
  <si>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</si>
  <si>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</si>
  <si>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</si>
  <si>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</si>
  <si>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</si>
  <si>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</si>
  <si>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</si>
  <si>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</si>
  <si>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</si>
  <si>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</si>
  <si>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</si>
  <si>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</si>
  <si>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</si>
  <si>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</si>
  <si>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</si>
  <si>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</si>
  <si>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</si>
  <si>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</si>
  <si>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</si>
  <si>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</si>
  <si>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</si>
  <si>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</si>
  <si>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</si>
  <si>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</si>
  <si>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</si>
  <si>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</si>
  <si>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</si>
  <si>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</si>
  <si>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</si>
  <si>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</si>
  <si>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</si>
  <si>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</si>
  <si>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</si>
  <si>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</si>
  <si>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</si>
  <si>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</si>
  <si>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</si>
  <si>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</si>
  <si>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</si>
  <si>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</si>
  <si>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</si>
  <si>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</si>
  <si>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</si>
  <si>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</si>
  <si>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</si>
  <si>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</si>
  <si>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</si>
  <si>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</si>
  <si>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</si>
  <si>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</si>
  <si>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</si>
  <si>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</si>
  <si>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</si>
  <si>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</si>
  <si>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</si>
  <si>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</si>
  <si>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</si>
  <si>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</si>
  <si>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</si>
  <si>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</si>
  <si>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</si>
  <si>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</si>
  <si>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</si>
  <si>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</si>
  <si>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</si>
  <si>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</si>
  <si>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</si>
  <si>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</si>
  <si>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</si>
  <si>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</si>
  <si>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</si>
  <si>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</si>
  <si>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</si>
  <si>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</si>
  <si>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</si>
  <si>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</si>
  <si>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</si>
  <si>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</si>
  <si>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</si>
  <si>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</si>
  <si>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</si>
  <si>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</si>
  <si>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</si>
  <si>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</si>
  <si>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</si>
  <si>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</si>
  <si>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</si>
  <si>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</si>
  <si>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</si>
  <si>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</si>
  <si>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</si>
  <si>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</si>
  <si>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</si>
  <si>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</si>
  <si>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</si>
  <si>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</si>
  <si>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</si>
  <si>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</si>
  <si>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</si>
  <si>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</si>
  <si>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</si>
  <si>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</si>
  <si>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</si>
  <si>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</si>
  <si>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</si>
  <si>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</si>
  <si>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</si>
  <si>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</si>
  <si>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</si>
  <si>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</si>
  <si>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</si>
  <si>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</si>
  <si>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</si>
  <si>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</si>
  <si>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</si>
  <si>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</si>
  <si>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</si>
  <si>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</si>
  <si>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</si>
  <si>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</si>
  <si>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</si>
  <si>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</si>
  <si>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</si>
  <si>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</si>
  <si>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</si>
  <si>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</si>
  <si>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</si>
  <si>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</si>
  <si>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</si>
  <si>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</si>
  <si>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</si>
  <si>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</si>
  <si>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</si>
  <si>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</si>
  <si>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</si>
  <si>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</si>
  <si>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</si>
  <si>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</si>
  <si>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</si>
  <si>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</si>
  <si>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</si>
  <si>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</si>
  <si>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</si>
  <si>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</si>
  <si>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</si>
  <si>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</si>
  <si>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</si>
  <si>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</si>
  <si>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</si>
  <si>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</si>
  <si>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</si>
  <si>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</si>
  <si>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</si>
  <si>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</si>
  <si>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</si>
  <si>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</si>
  <si>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</si>
  <si>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</si>
  <si>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</si>
  <si>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</si>
  <si>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</si>
  <si>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</si>
  <si>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</si>
  <si>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</si>
  <si>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</si>
  <si>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</si>
  <si>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</si>
  <si>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</si>
  <si>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</si>
  <si>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</si>
  <si>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</si>
  <si>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</si>
  <si>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</si>
  <si>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</si>
  <si>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</si>
  <si>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</si>
  <si>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</si>
  <si>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</si>
  <si>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</si>
  <si>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</si>
  <si>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</si>
  <si>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</si>
  <si>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</si>
  <si>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</si>
  <si>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</si>
  <si>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</si>
  <si>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</si>
  <si>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</si>
  <si>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</si>
  <si>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</si>
  <si>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</si>
  <si>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</si>
  <si>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</si>
  <si>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</si>
  <si>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</si>
  <si>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</si>
  <si>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</si>
  <si>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</si>
  <si>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</si>
  <si>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</si>
  <si>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</si>
  <si>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</si>
  <si>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</si>
  <si>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</si>
  <si>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</si>
  <si>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</si>
  <si>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</si>
  <si>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</si>
  <si>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</si>
  <si>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</si>
  <si>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</si>
  <si>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</si>
  <si>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</si>
  <si>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</si>
  <si>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</si>
  <si>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</si>
  <si>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</si>
  <si>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</si>
  <si>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</si>
  <si>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</si>
  <si>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</si>
  <si>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</si>
  <si>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</si>
  <si>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</si>
  <si>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</si>
  <si>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</si>
  <si>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</si>
  <si>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</si>
  <si>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</si>
  <si>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</si>
  <si>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</si>
  <si>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</si>
  <si>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</si>
  <si>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</si>
  <si>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</si>
  <si>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</si>
  <si>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</si>
  <si>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</si>
  <si>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</si>
  <si>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</si>
  <si>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</si>
  <si>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</si>
  <si>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</si>
  <si>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</si>
  <si>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</si>
  <si>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</si>
  <si>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</si>
  <si>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</si>
  <si>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</si>
  <si>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</si>
  <si>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</si>
  <si>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</si>
  <si>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</si>
  <si>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</si>
  <si>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</si>
  <si>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</si>
  <si>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</si>
  <si>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</si>
  <si>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</si>
  <si>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</si>
  <si>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</si>
  <si>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</si>
  <si>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</si>
  <si>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</si>
  <si>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</si>
  <si>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</si>
  <si>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</si>
  <si>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</si>
  <si>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</si>
  <si>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</si>
  <si>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</si>
  <si>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</si>
  <si>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</si>
  <si>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</si>
  <si>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</si>
  <si>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</si>
  <si>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</si>
  <si>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</si>
  <si>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</si>
  <si>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</si>
  <si>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</si>
  <si>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</si>
  <si>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</si>
  <si>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</si>
  <si>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</si>
  <si>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</si>
  <si>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</si>
  <si>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</si>
  <si>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</si>
  <si>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</si>
  <si>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</si>
  <si>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</si>
  <si>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</si>
  <si>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</si>
  <si>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</si>
  <si>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</si>
  <si>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</si>
  <si>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</si>
  <si>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</si>
  <si>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</si>
  <si>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</si>
  <si>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</si>
  <si>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</si>
  <si>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</si>
  <si>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</si>
  <si>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</si>
  <si>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</si>
  <si>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</si>
  <si>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</si>
  <si>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</si>
  <si>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</si>
  <si>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</si>
  <si>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</si>
  <si>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</si>
  <si>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</si>
  <si>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</si>
  <si>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</si>
  <si>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</si>
  <si>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</si>
  <si>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</si>
  <si>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</si>
  <si>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</si>
  <si>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</si>
  <si>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</si>
  <si>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</si>
  <si>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</si>
  <si>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</si>
  <si>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</si>
  <si>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</si>
  <si>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</si>
  <si>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</si>
  <si>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</si>
  <si>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</si>
  <si>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</si>
  <si>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</si>
  <si>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</si>
  <si>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</si>
  <si>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</si>
  <si>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</si>
  <si>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</si>
  <si>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</si>
  <si>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</si>
  <si>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</si>
  <si>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</si>
  <si>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</si>
  <si>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</si>
  <si>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</si>
  <si>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</si>
  <si>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</si>
  <si>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</si>
  <si>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</si>
  <si>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</si>
  <si>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</si>
  <si>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</si>
  <si>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</si>
  <si>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</si>
  <si>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</si>
  <si>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</si>
  <si>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</si>
  <si>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</si>
  <si>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</si>
  <si>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</si>
  <si>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</si>
  <si>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</si>
  <si>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</si>
  <si>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</si>
  <si>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</si>
  <si>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</si>
  <si>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</si>
  <si>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</si>
  <si>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</si>
  <si>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</si>
  <si>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</si>
  <si>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</si>
  <si>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</si>
  <si>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</si>
  <si>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</si>
  <si>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</si>
  <si>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</si>
  <si>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</si>
  <si>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</si>
  <si>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</si>
  <si>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</si>
  <si>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</si>
  <si>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</si>
  <si>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</si>
  <si>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</si>
  <si>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</si>
  <si>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</si>
  <si>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</si>
  <si>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</si>
  <si>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</si>
  <si>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</si>
  <si>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</si>
  <si>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</si>
  <si>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</si>
  <si>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</si>
  <si>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</si>
  <si>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</si>
  <si>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</si>
  <si>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</si>
  <si>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</si>
  <si>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</si>
  <si>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</si>
  <si>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</si>
  <si>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</si>
  <si>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</si>
  <si>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</si>
  <si>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</si>
  <si>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</si>
  <si>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</si>
  <si>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</si>
  <si>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</si>
  <si>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</si>
  <si>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</si>
  <si>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</si>
  <si>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</si>
  <si>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</si>
  <si>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</si>
  <si>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</si>
  <si>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</si>
  <si>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</si>
  <si>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</si>
  <si>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</si>
  <si>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</si>
  <si>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</si>
  <si>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</si>
  <si>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</si>
  <si>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</si>
  <si>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</si>
  <si>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</si>
  <si>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</si>
  <si>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</si>
  <si>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</si>
  <si>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</si>
  <si>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</si>
  <si>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</si>
  <si>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</si>
  <si>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</si>
  <si>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</si>
  <si>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</si>
  <si>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</si>
  <si>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</si>
  <si>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</si>
  <si>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</si>
  <si>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</si>
  <si>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</si>
  <si>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</si>
  <si>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</si>
  <si>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</si>
  <si>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</si>
  <si>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</si>
  <si>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</si>
  <si>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</si>
  <si>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</si>
  <si>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</si>
  <si>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</si>
  <si>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</si>
  <si>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</si>
  <si>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</si>
  <si>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</si>
  <si>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</si>
  <si>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</si>
  <si>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</si>
  <si>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</si>
  <si>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</si>
  <si>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</si>
  <si>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</si>
  <si>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</si>
  <si>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</si>
  <si>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</si>
  <si>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</si>
  <si>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</si>
  <si>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</si>
  <si>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</si>
  <si>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</si>
  <si>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</si>
  <si>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</si>
  <si>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</si>
  <si>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</si>
  <si>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</si>
  <si>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</si>
  <si>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</si>
  <si>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</si>
  <si>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</si>
  <si>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</si>
  <si>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</si>
  <si>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</si>
  <si>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</si>
  <si>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</si>
  <si>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</si>
  <si>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</si>
  <si>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</si>
  <si>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</si>
  <si>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</si>
  <si>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</si>
  <si>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</si>
  <si>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</si>
  <si>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</si>
  <si>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</si>
  <si>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</si>
  <si>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</si>
  <si>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</si>
  <si>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</si>
  <si>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</si>
  <si>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</si>
  <si>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</si>
  <si>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</si>
  <si>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</si>
  <si>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</si>
  <si>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</si>
  <si>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</si>
  <si>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</si>
  <si>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</si>
  <si>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</si>
  <si>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</si>
  <si>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</si>
  <si>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</si>
  <si>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</si>
  <si>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</si>
  <si>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</si>
  <si>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</si>
  <si>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</si>
  <si>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</si>
  <si>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</si>
  <si>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</si>
  <si>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</si>
  <si>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</si>
  <si>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</si>
  <si>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</si>
  <si>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</si>
  <si>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</si>
  <si>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</si>
  <si>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</si>
  <si>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</si>
  <si>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</si>
  <si>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</si>
  <si>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</si>
  <si>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</si>
  <si>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</si>
  <si>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</si>
  <si>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</si>
  <si>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</si>
  <si>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</si>
  <si>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</si>
  <si>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</si>
  <si>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</si>
  <si>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</si>
  <si>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</si>
  <si>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</si>
  <si>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</si>
  <si>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</si>
  <si>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</si>
  <si>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</si>
  <si>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</si>
  <si>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</si>
  <si>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</si>
  <si>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</si>
  <si>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</si>
  <si>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</si>
  <si>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</si>
  <si>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</si>
  <si>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</si>
  <si>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</si>
  <si>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</si>
  <si>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</si>
  <si>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</si>
  <si>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</si>
  <si>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</si>
  <si>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</si>
  <si>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</si>
  <si>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</si>
  <si>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</si>
  <si>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</si>
  <si>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</si>
  <si>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</si>
  <si>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</si>
  <si>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</si>
  <si>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</si>
  <si>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</si>
  <si>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</si>
  <si>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</si>
  <si>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</si>
  <si>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</si>
  <si>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</si>
  <si>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</si>
  <si>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</si>
  <si>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</si>
  <si>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</si>
  <si>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</si>
  <si>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</si>
  <si>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</si>
  <si>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</si>
  <si>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</si>
  <si>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</si>
  <si>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</si>
  <si>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</si>
  <si>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</si>
  <si>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</si>
  <si>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</si>
  <si>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</si>
  <si>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</si>
  <si>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</si>
  <si>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</si>
  <si>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</si>
  <si>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</si>
  <si>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</si>
  <si>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</si>
  <si>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</si>
  <si>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</si>
  <si>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</si>
  <si>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</si>
  <si>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</si>
  <si>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</si>
  <si>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</si>
  <si>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</si>
  <si>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</si>
  <si>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</si>
  <si>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</si>
  <si>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</si>
  <si>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</si>
  <si>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</si>
  <si>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</si>
  <si>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</si>
  <si>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</si>
  <si>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</si>
  <si>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</si>
  <si>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</si>
  <si>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</si>
  <si>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</si>
  <si>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</si>
  <si>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</si>
  <si>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</si>
  <si>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</si>
  <si>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</si>
  <si>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</si>
  <si>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</si>
  <si>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</si>
  <si>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</si>
  <si>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</si>
  <si>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</si>
  <si>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</si>
  <si>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</si>
  <si>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</si>
  <si>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</si>
  <si>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</si>
  <si>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</si>
  <si>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</si>
  <si>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</si>
  <si>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</si>
  <si>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</si>
  <si>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</si>
  <si>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</si>
  <si>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</si>
  <si>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</si>
  <si>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</si>
  <si>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</si>
  <si>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</si>
  <si>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</si>
  <si>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</si>
  <si>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</si>
  <si>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</si>
  <si>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</si>
  <si>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</si>
  <si>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</si>
  <si>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</si>
  <si>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</si>
  <si>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</si>
  <si>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</si>
  <si>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</si>
  <si>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</si>
  <si>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</si>
  <si>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</si>
  <si>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</si>
  <si>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</si>
  <si>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</si>
  <si>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</si>
  <si>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</si>
  <si>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</si>
  <si>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</si>
  <si>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</si>
  <si>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</si>
  <si>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</si>
  <si>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</si>
  <si>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</si>
  <si>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</si>
  <si>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</si>
  <si>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</si>
  <si>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</si>
  <si>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</si>
  <si>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</si>
  <si>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</si>
  <si>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</si>
  <si>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</si>
  <si>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</si>
  <si>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</si>
  <si>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</si>
  <si>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</si>
  <si>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</si>
  <si>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</si>
  <si>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</si>
  <si>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</si>
  <si>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</si>
  <si>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</si>
  <si>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</si>
  <si>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</si>
  <si>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</si>
  <si>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</si>
  <si>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</si>
  <si>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</si>
  <si>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</si>
  <si>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</si>
  <si>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</si>
  <si>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</si>
  <si>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</si>
  <si>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</si>
  <si>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</si>
  <si>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</si>
  <si>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</si>
  <si>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</si>
  <si>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</si>
  <si>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</si>
  <si>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</si>
  <si>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</si>
  <si>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</si>
  <si>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</si>
  <si>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</si>
  <si>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</si>
  <si>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</si>
  <si>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</si>
  <si>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</si>
  <si>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</si>
  <si>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</si>
  <si>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</si>
  <si>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</si>
  <si>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</si>
  <si>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</si>
  <si>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</si>
  <si>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</si>
  <si>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</si>
  <si>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</si>
  <si>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</si>
  <si>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</si>
  <si>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</si>
  <si>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</si>
  <si>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</si>
  <si>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</si>
  <si>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</si>
  <si>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</si>
  <si>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</si>
  <si>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</si>
  <si>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</si>
  <si>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</si>
  <si>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</si>
  <si>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</si>
  <si>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</si>
  <si>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</si>
  <si>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</si>
  <si>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</si>
  <si>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</si>
  <si>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</si>
  <si>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</si>
  <si>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</si>
  <si>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</si>
  <si>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</si>
  <si>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</si>
  <si>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</si>
  <si>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</si>
  <si>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</si>
  <si>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</si>
  <si>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</si>
  <si>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</si>
  <si>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</si>
  <si>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</si>
  <si>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</si>
  <si>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</si>
  <si>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</si>
  <si>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</si>
  <si>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</si>
  <si>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</si>
  <si>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</si>
  <si>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</si>
  <si>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</si>
  <si>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</si>
  <si>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</si>
  <si>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</si>
  <si>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</si>
  <si>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</si>
  <si>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</si>
  <si>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</si>
  <si>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</si>
  <si>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</si>
  <si>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</si>
  <si>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</si>
  <si>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</si>
  <si>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</si>
  <si>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</si>
  <si>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</si>
  <si>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</si>
  <si>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</si>
  <si>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</si>
  <si>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</si>
  <si>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</si>
  <si>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</si>
  <si>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</si>
  <si>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</si>
  <si>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</si>
  <si>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</si>
  <si>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</si>
  <si>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</si>
  <si>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</si>
  <si>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</si>
  <si>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</si>
  <si>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</si>
  <si>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</si>
  <si>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</si>
  <si>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</si>
  <si>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</si>
  <si>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</si>
  <si>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</si>
  <si>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</si>
  <si>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</si>
  <si>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</si>
  <si>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</si>
  <si>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</si>
  <si>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</si>
  <si>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</si>
  <si>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</si>
  <si>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</si>
  <si>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</si>
  <si>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</si>
  <si>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</si>
  <si>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</si>
  <si>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</si>
  <si>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</si>
  <si>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</si>
  <si>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</si>
  <si>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</si>
  <si>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</si>
  <si>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</si>
  <si>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</si>
  <si>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</si>
  <si>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</si>
  <si>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</si>
  <si>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</si>
  <si>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</si>
  <si>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</si>
  <si>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</si>
  <si>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</si>
  <si>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</si>
  <si>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</si>
  <si>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</si>
  <si>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</si>
  <si>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</si>
  <si>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</si>
  <si>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</si>
  <si>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</si>
  <si>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</si>
  <si>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</si>
  <si>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</si>
  <si>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</si>
  <si>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</si>
  <si>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</si>
  <si>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</si>
  <si>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</si>
  <si>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</si>
  <si>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</si>
  <si>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</si>
  <si>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</si>
  <si>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</si>
  <si>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</si>
  <si>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</si>
  <si>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</si>
  <si>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</si>
  <si>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</si>
  <si>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</si>
  <si>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</si>
  <si>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</si>
  <si>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</si>
  <si>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</si>
  <si>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</si>
  <si>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</si>
  <si>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</si>
  <si>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</si>
  <si>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</si>
  <si>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</si>
  <si>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</si>
  <si>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</si>
  <si>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</si>
  <si>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</si>
  <si>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</si>
  <si>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</si>
  <si>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</si>
  <si>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</si>
  <si>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</si>
  <si>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</si>
  <si>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</si>
  <si>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</si>
  <si>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</si>
  <si>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</si>
  <si>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</si>
  <si>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</si>
  <si>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</si>
  <si>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</si>
  <si>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</si>
  <si>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</si>
  <si>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</si>
  <si>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</si>
  <si>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</si>
  <si>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</si>
  <si>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</si>
  <si>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</si>
  <si>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</si>
  <si>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</si>
  <si>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</si>
  <si>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</si>
  <si>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</si>
  <si>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</si>
  <si>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</si>
  <si>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</si>
  <si>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</si>
  <si>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</si>
  <si>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</si>
  <si>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</si>
  <si>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</si>
  <si>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</si>
  <si>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</si>
  <si>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</si>
  <si>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</si>
  <si>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</si>
  <si>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</si>
  <si>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</si>
  <si>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</si>
  <si>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</si>
  <si>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</si>
  <si>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</si>
  <si>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</si>
  <si>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</si>
  <si>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</si>
  <si>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</si>
  <si>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</si>
  <si>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</si>
  <si>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</si>
  <si>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</si>
  <si>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</si>
  <si>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</si>
  <si>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</si>
  <si>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</si>
  <si>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</si>
  <si>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</si>
  <si>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</si>
  <si>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</si>
  <si>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</si>
  <si>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</si>
  <si>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</si>
  <si>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</si>
  <si>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</si>
  <si>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</si>
  <si>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</si>
  <si>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</si>
  <si>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</si>
  <si>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</si>
  <si>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</si>
  <si>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</si>
  <si>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</si>
  <si>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</si>
  <si>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</si>
  <si>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</si>
  <si>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</si>
  <si>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</si>
  <si>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</si>
  <si>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</si>
  <si>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</si>
  <si>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</si>
  <si>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</si>
  <si>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</si>
  <si>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</si>
  <si>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</si>
  <si>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</si>
  <si>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</si>
  <si>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</si>
  <si>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</si>
  <si>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</si>
  <si>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</si>
  <si>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</si>
  <si>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</si>
  <si>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</si>
  <si>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</si>
  <si>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</si>
  <si>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</si>
  <si>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</si>
  <si>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</si>
  <si>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</si>
  <si>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</si>
  <si>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</si>
  <si>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</si>
  <si>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</si>
  <si>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</si>
  <si>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</si>
  <si>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</si>
  <si>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</si>
  <si>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</si>
  <si>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</si>
  <si>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</si>
  <si>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</si>
  <si>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</si>
  <si>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</si>
  <si>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</si>
  <si>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</si>
  <si>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</si>
  <si>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</si>
  <si>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</si>
  <si>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</si>
  <si>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</si>
  <si>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</si>
  <si>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</si>
  <si>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</si>
  <si>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</si>
  <si>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</si>
  <si>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</si>
  <si>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</si>
  <si>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</si>
  <si>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</si>
  <si>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</si>
  <si>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</si>
  <si>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</si>
  <si>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</si>
  <si>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</si>
  <si>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</si>
  <si>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</si>
  <si>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</si>
  <si>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</si>
  <si>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</si>
  <si>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</si>
  <si>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</si>
  <si>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</si>
  <si>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</si>
  <si>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</si>
  <si>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</si>
  <si>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</si>
  <si>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</si>
  <si>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</si>
  <si>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</si>
  <si>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</si>
  <si>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</si>
  <si>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</si>
  <si>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</si>
  <si>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</si>
  <si>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</si>
  <si>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</si>
  <si>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</si>
  <si>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</si>
  <si>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</si>
  <si>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</si>
  <si>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</si>
  <si>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</si>
  <si>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</si>
  <si>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</si>
  <si>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</si>
  <si>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</si>
  <si>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</si>
  <si>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</si>
  <si>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</si>
  <si>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</si>
  <si>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</si>
  <si>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</si>
  <si>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</si>
  <si>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</si>
  <si>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</si>
  <si>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</si>
  <si>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</si>
  <si>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</si>
  <si>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</si>
  <si>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</si>
  <si>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</si>
  <si>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</si>
  <si>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</si>
  <si>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</si>
  <si>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</si>
  <si>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</si>
  <si>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</si>
  <si>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</si>
  <si>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</si>
  <si>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</si>
  <si>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</si>
  <si>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</si>
  <si>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</si>
  <si>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</si>
  <si>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</si>
  <si>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</si>
  <si>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</si>
  <si>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</si>
  <si>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</si>
  <si>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</si>
  <si>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</si>
  <si>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</si>
  <si>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</si>
  <si>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</si>
  <si>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</si>
  <si>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</si>
  <si>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</si>
  <si>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</si>
  <si>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</si>
  <si>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</si>
  <si>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</si>
  <si>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</si>
  <si>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</si>
  <si>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</si>
  <si>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</si>
  <si>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</si>
  <si>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</si>
  <si>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</si>
  <si>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</si>
  <si>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</si>
  <si>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</si>
  <si>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</si>
  <si>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</si>
  <si>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</si>
  <si>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</si>
  <si>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</si>
  <si>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</si>
  <si>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</si>
  <si>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</si>
  <si>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</si>
  <si>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</si>
  <si>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</si>
  <si>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</si>
  <si>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</si>
  <si>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</si>
  <si>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</si>
  <si>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</si>
  <si>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</si>
  <si>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</si>
  <si>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</si>
  <si>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</si>
  <si>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</si>
  <si>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</si>
  <si>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</si>
  <si>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</si>
  <si>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</si>
  <si>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</si>
  <si>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</si>
  <si>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</si>
  <si>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</si>
  <si>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</si>
  <si>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</si>
  <si>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</si>
  <si>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</si>
  <si>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</si>
  <si>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</si>
  <si>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</si>
  <si>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</si>
  <si>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</si>
  <si>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</si>
  <si>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</si>
  <si>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</si>
  <si>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</si>
  <si>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</si>
  <si>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</si>
  <si>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</si>
  <si>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</si>
  <si>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</si>
  <si>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</si>
  <si>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</si>
  <si>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</si>
  <si>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</si>
  <si>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</si>
  <si>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</si>
  <si>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</si>
  <si>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</si>
  <si>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</si>
  <si>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</si>
  <si>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</si>
  <si>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</si>
  <si>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</si>
  <si>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</si>
  <si>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</si>
  <si>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</si>
  <si>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</si>
  <si>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</si>
  <si>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</si>
  <si>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</si>
  <si>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</si>
  <si>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</si>
  <si>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</si>
  <si>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</si>
  <si>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</si>
  <si>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</si>
  <si>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</si>
  <si>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</si>
  <si>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</si>
  <si>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</si>
  <si>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</si>
  <si>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</si>
  <si>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</si>
  <si>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</si>
  <si>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</si>
  <si>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</si>
  <si>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</si>
  <si>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</si>
  <si>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</si>
  <si>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</si>
  <si>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</si>
  <si>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</si>
  <si>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</si>
  <si>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</si>
  <si>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</si>
  <si>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</si>
  <si>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</si>
  <si>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</si>
  <si>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</si>
  <si>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</si>
  <si>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</si>
  <si>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</si>
  <si>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</si>
  <si>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</si>
  <si>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</si>
  <si>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</si>
  <si>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</si>
  <si>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</si>
  <si>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</si>
  <si>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</si>
  <si>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</si>
  <si>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</si>
  <si>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</si>
  <si>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</si>
  <si>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</si>
  <si>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</si>
  <si>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</si>
  <si>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</si>
  <si>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</si>
  <si>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</si>
  <si>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</si>
  <si>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</si>
  <si>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</si>
  <si>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</si>
  <si>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</si>
  <si>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</si>
  <si>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</si>
  <si>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</si>
  <si>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</si>
  <si>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</si>
  <si>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</si>
  <si>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</si>
  <si>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</si>
  <si>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</si>
  <si>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</si>
  <si>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</si>
  <si>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</si>
  <si>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</si>
  <si>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</si>
  <si>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</si>
  <si>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</si>
  <si>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</si>
  <si>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</si>
  <si>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</si>
  <si>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</si>
  <si>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</si>
  <si>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</si>
  <si>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</si>
  <si>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</si>
  <si>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</si>
  <si>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</si>
  <si>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</si>
  <si>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</si>
  <si>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</si>
  <si>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</si>
  <si>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</si>
  <si>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</si>
  <si>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</si>
  <si>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</si>
  <si>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</si>
  <si>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</si>
  <si>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</si>
  <si>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</si>
  <si>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</si>
  <si>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</si>
  <si>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</si>
  <si>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</si>
  <si>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</si>
  <si>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</si>
  <si>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</si>
  <si>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</si>
  <si>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</si>
  <si>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</si>
  <si>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</si>
  <si>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</si>
  <si>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</si>
  <si>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</si>
  <si>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</si>
  <si>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</si>
  <si>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</si>
  <si>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</si>
  <si>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</si>
  <si>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</si>
  <si>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</si>
  <si>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</si>
  <si>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</si>
  <si>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</si>
  <si>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</si>
  <si>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</si>
  <si>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</si>
  <si>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</si>
  <si>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</si>
  <si>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</si>
  <si>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</si>
  <si>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</si>
  <si>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</si>
  <si>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</si>
  <si>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</si>
  <si>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</si>
  <si>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</si>
  <si>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</si>
  <si>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</si>
  <si>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</si>
  <si>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</si>
  <si>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</si>
  <si>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</si>
  <si>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</si>
  <si>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</si>
  <si>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</si>
  <si>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</si>
  <si>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</si>
  <si>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</si>
  <si>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</si>
  <si>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</si>
  <si>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</si>
  <si>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</si>
  <si>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</si>
  <si>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</si>
  <si>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</si>
  <si>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</si>
  <si>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</si>
  <si>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</si>
  <si>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</si>
  <si>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</si>
  <si>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</si>
  <si>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</si>
  <si>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</si>
  <si>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</si>
  <si>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</si>
  <si>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</si>
  <si>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</si>
  <si>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</si>
  <si>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</si>
  <si>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</si>
  <si>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</si>
  <si>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</si>
  <si>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</si>
  <si>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</si>
  <si>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</si>
  <si>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</si>
  <si>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</si>
  <si>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</si>
  <si>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</si>
  <si>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</si>
  <si>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</si>
  <si>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</si>
  <si>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</si>
  <si>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</si>
  <si>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</si>
  <si>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</si>
  <si>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</si>
  <si>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</si>
  <si>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</si>
  <si>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</si>
  <si>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</si>
  <si>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</si>
  <si>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</si>
  <si>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</si>
  <si>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</si>
  <si>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</si>
  <si>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</si>
  <si>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</si>
  <si>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</si>
  <si>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</si>
  <si>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</si>
  <si>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</si>
  <si>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</si>
  <si>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</si>
  <si>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</si>
  <si>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</si>
  <si>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</si>
  <si>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</si>
  <si>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</si>
  <si>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</si>
  <si>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</si>
  <si>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</si>
  <si>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</si>
  <si>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</si>
  <si>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</si>
  <si>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</si>
  <si>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</si>
  <si>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</si>
  <si>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</si>
  <si>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</si>
  <si>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</si>
  <si>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</si>
  <si>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</si>
  <si>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</si>
  <si>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</si>
  <si>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</si>
  <si>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</si>
  <si>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</si>
  <si>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</si>
  <si>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</si>
  <si>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</si>
  <si>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</si>
  <si>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</si>
  <si>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</si>
  <si>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</si>
  <si>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</si>
  <si>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</si>
  <si>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</si>
  <si>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</si>
  <si>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</si>
  <si>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</si>
  <si>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</si>
  <si>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</si>
  <si>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</si>
  <si>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</si>
  <si>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</si>
  <si>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</si>
  <si>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</si>
  <si>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</si>
  <si>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</si>
  <si>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</si>
  <si>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</si>
  <si>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</si>
  <si>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</si>
  <si>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</si>
  <si>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</si>
  <si>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</si>
  <si>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</si>
  <si>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</si>
  <si>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</si>
  <si>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</si>
  <si>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</si>
  <si>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</si>
  <si>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</si>
  <si>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</si>
  <si>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</si>
  <si>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</si>
  <si>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</si>
  <si>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</si>
  <si>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</si>
  <si>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</si>
  <si>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</si>
  <si>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</si>
  <si>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</si>
  <si>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</si>
  <si>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</si>
  <si>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</si>
  <si>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</si>
  <si>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</si>
  <si>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</si>
  <si>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</si>
  <si>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</si>
  <si>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</si>
  <si>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</si>
  <si>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</si>
  <si>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</si>
  <si>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</si>
  <si>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</si>
  <si>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</si>
  <si>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</si>
  <si>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</si>
  <si>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</si>
  <si>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</si>
  <si>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</si>
  <si>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</si>
  <si>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</si>
  <si>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</si>
  <si>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</si>
  <si>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</si>
  <si>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</si>
  <si>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</si>
  <si>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</si>
  <si>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</si>
  <si>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</si>
  <si>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</si>
  <si>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</si>
  <si>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</si>
  <si>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</si>
  <si>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</si>
  <si>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</si>
  <si>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</si>
  <si>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</si>
  <si>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</si>
  <si>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</si>
  <si>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</si>
  <si>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</si>
  <si>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</si>
  <si>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</si>
  <si>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</si>
  <si>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</si>
  <si>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</si>
  <si>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</si>
  <si>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</si>
  <si>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</si>
  <si>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</si>
  <si>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</si>
  <si>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</si>
  <si>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</si>
  <si>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</si>
  <si>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</si>
  <si>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</si>
  <si>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</si>
  <si>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</si>
  <si>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</si>
  <si>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</si>
  <si>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</si>
  <si>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</si>
  <si>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</si>
  <si>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</si>
  <si>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</si>
  <si>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</si>
  <si>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</si>
  <si>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</si>
  <si>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</si>
  <si>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</si>
  <si>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</si>
  <si>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</si>
  <si>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</si>
  <si>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</si>
  <si>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</si>
  <si>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</si>
  <si>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</si>
  <si>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</si>
  <si>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</si>
  <si>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</si>
  <si>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</si>
  <si>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</si>
  <si>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</si>
  <si>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</si>
  <si>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</si>
  <si>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</si>
  <si>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</si>
  <si>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</si>
  <si>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</si>
  <si>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</si>
  <si>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</si>
  <si>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</si>
  <si>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</si>
  <si>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</si>
  <si>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</si>
  <si>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</si>
  <si>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</si>
  <si>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</si>
  <si>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</si>
  <si>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</si>
  <si>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</si>
  <si>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</si>
  <si>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</si>
  <si>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</si>
  <si>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</si>
  <si>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</si>
  <si>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</si>
  <si>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</si>
  <si>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</si>
  <si>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</si>
  <si>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</si>
  <si>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</si>
  <si>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</si>
  <si>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</si>
  <si>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</si>
  <si>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</si>
  <si>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</si>
  <si>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</si>
  <si>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</si>
  <si>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</si>
  <si>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</si>
  <si>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</si>
  <si>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</si>
  <si>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</si>
  <si>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</si>
  <si>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</si>
  <si>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</si>
  <si>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</si>
  <si>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</si>
  <si>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</si>
  <si>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</si>
  <si>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</si>
  <si>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</si>
  <si>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</si>
  <si>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</si>
  <si>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</si>
  <si>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</si>
  <si>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</si>
  <si>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</si>
  <si>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</si>
  <si>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</si>
  <si>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</si>
  <si>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</si>
  <si>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</si>
  <si>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</si>
  <si>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</si>
  <si>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</si>
  <si>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</si>
  <si>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</si>
  <si>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</si>
  <si>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</si>
  <si>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</si>
  <si>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</si>
  <si>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</si>
  <si>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</si>
  <si>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</si>
  <si>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</si>
  <si>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</si>
  <si>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</si>
  <si>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</si>
  <si>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</si>
  <si>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</si>
  <si>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</si>
  <si>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</si>
  <si>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</si>
  <si>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</si>
  <si>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</si>
  <si>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</si>
  <si>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</si>
  <si>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</si>
  <si>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</si>
  <si>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</si>
  <si>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</si>
  <si>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</si>
  <si>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</si>
  <si>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</si>
  <si>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</si>
  <si>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</si>
  <si>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</si>
  <si>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</si>
  <si>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</si>
  <si>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</si>
  <si>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</si>
  <si>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</si>
  <si>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</si>
  <si>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</si>
  <si>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</si>
  <si>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</si>
  <si>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</si>
  <si>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</si>
  <si>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</si>
  <si>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</si>
  <si>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</si>
  <si>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</si>
  <si>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</si>
  <si>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</si>
  <si>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</si>
  <si>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</si>
  <si>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</si>
  <si>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</si>
  <si>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</si>
  <si>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</si>
  <si>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</si>
  <si>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</si>
  <si>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</si>
  <si>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</si>
  <si>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</si>
  <si>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</si>
  <si>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</si>
  <si>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</si>
  <si>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</si>
  <si>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</si>
  <si>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</si>
  <si>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</si>
  <si>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</si>
  <si>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</si>
  <si>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</si>
  <si>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</si>
  <si>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</si>
  <si>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</si>
  <si>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</si>
  <si>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</si>
  <si>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</si>
  <si>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</si>
  <si>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</si>
  <si>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</si>
  <si>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</si>
  <si>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</si>
  <si>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</si>
  <si>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</si>
  <si>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</si>
  <si>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</si>
  <si>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</si>
  <si>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</si>
  <si>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</si>
  <si>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</si>
  <si>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</si>
  <si>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</si>
  <si>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</si>
  <si>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</si>
  <si>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</si>
  <si>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</si>
  <si>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</si>
  <si>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</si>
  <si>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</si>
  <si>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</si>
  <si>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</si>
  <si>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</si>
  <si>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</si>
  <si>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</si>
  <si>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</si>
  <si>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</si>
  <si>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</si>
  <si>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</si>
  <si>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</si>
  <si>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</si>
  <si>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</si>
  <si>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</si>
  <si>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</si>
  <si>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</si>
  <si>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</si>
  <si>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</si>
  <si>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</si>
  <si>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</si>
  <si>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</si>
  <si>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</si>
  <si>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</si>
  <si>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</si>
  <si>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</si>
  <si>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</si>
  <si>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</si>
  <si>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</si>
  <si>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</si>
  <si>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</si>
  <si>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</si>
  <si>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</si>
  <si>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</si>
  <si>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</si>
  <si>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</si>
  <si>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</si>
  <si>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</si>
  <si>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</si>
  <si>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</si>
  <si>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</si>
  <si>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</si>
  <si>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</si>
  <si>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</si>
  <si>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</si>
  <si>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</si>
  <si>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</si>
  <si>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</si>
  <si>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</si>
  <si>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</si>
  <si>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</si>
  <si>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</si>
  <si>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</si>
  <si>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</si>
  <si>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</si>
  <si>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</si>
  <si>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</si>
  <si>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</si>
  <si>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</si>
  <si>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</si>
  <si>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</si>
  <si>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</si>
  <si>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</si>
  <si>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</si>
  <si>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</si>
  <si>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</si>
  <si>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</si>
  <si>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</si>
  <si>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</si>
  <si>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</si>
  <si>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</si>
  <si>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</si>
  <si>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</si>
  <si>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</si>
  <si>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</si>
  <si>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</si>
  <si>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</si>
  <si>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</si>
  <si>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</si>
  <si>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</si>
  <si>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</si>
  <si>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</si>
  <si>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</si>
  <si>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</si>
  <si>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</si>
  <si>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</si>
  <si>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</si>
  <si>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</si>
  <si>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</si>
  <si>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</si>
  <si>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</si>
  <si>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</si>
  <si>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</si>
  <si>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</si>
  <si>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</si>
  <si>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</si>
  <si>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</si>
  <si>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</si>
  <si>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</si>
  <si>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</si>
  <si>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</si>
  <si>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</si>
  <si>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</si>
  <si>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</si>
  <si>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</si>
  <si>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</si>
  <si>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</si>
  <si>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</si>
  <si>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</si>
  <si>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</si>
  <si>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</si>
  <si>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</si>
  <si>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</si>
  <si>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</si>
  <si>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</si>
  <si>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</si>
  <si>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</si>
  <si>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</si>
  <si>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</si>
  <si>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</si>
  <si>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</si>
  <si>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</si>
  <si>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</si>
  <si>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</si>
  <si>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</si>
  <si>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</si>
  <si>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</si>
  <si>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</si>
  <si>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</si>
  <si>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</si>
  <si>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</si>
  <si>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</si>
  <si>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</si>
  <si>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</si>
  <si>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</si>
  <si>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</si>
  <si>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</si>
  <si>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</si>
  <si>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</si>
  <si>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</si>
  <si>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</si>
  <si>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</si>
  <si>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</si>
  <si>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</si>
  <si>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</si>
  <si>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</si>
  <si>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</si>
  <si>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</si>
  <si>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</si>
  <si>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</si>
  <si>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</si>
  <si>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</si>
  <si>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</si>
  <si>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</si>
  <si>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</si>
  <si>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</si>
  <si>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</si>
  <si>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</si>
  <si>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</si>
  <si>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</si>
  <si>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</si>
  <si>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</si>
  <si>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</si>
  <si>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</si>
  <si>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</si>
  <si>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</si>
  <si>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</si>
  <si>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</si>
  <si>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</si>
  <si>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</si>
  <si>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</si>
  <si>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</si>
  <si>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</si>
  <si>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</si>
  <si>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</si>
  <si>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</si>
  <si>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</si>
  <si>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</si>
  <si>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</si>
  <si>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</si>
  <si>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</si>
  <si>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</si>
  <si>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</si>
  <si>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</si>
  <si>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</si>
  <si>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</si>
  <si>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</si>
  <si>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</si>
  <si>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</si>
  <si>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</si>
  <si>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</si>
  <si>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</si>
  <si>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</si>
  <si>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</si>
  <si>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</si>
  <si>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</si>
  <si>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</si>
  <si>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</si>
  <si>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</si>
  <si>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</si>
  <si>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</si>
  <si>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</si>
  <si>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</si>
  <si>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</si>
  <si>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</si>
  <si>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</si>
  <si>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</si>
  <si>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</si>
  <si>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</si>
  <si>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</si>
  <si>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</si>
  <si>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</si>
  <si>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</si>
  <si>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</si>
  <si>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</si>
  <si>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</si>
  <si>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</si>
  <si>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</si>
  <si>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</si>
  <si>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</si>
  <si>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</si>
  <si>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</si>
  <si>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</si>
  <si>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</si>
  <si>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</si>
  <si>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</si>
  <si>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</si>
  <si>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</si>
  <si>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</si>
  <si>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</si>
  <si>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</si>
  <si>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</si>
  <si>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</si>
  <si>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</si>
  <si>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</si>
  <si>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</si>
  <si>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</si>
  <si>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</si>
  <si>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</si>
  <si>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</si>
  <si>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</si>
  <si>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</si>
  <si>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</si>
  <si>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</si>
  <si>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</si>
  <si>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</si>
  <si>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</si>
  <si>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</si>
  <si>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</si>
  <si>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</si>
  <si>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</si>
  <si>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</si>
  <si>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</si>
  <si>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</si>
  <si>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</si>
  <si>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</si>
  <si>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</si>
  <si>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</si>
  <si>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</si>
  <si>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</si>
  <si>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</si>
  <si>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</si>
  <si>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</si>
  <si>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</si>
  <si>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</si>
  <si>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</si>
  <si>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</si>
  <si>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</si>
  <si>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</si>
  <si>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</si>
  <si>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</si>
  <si>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</si>
  <si>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</si>
  <si>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</si>
  <si>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</si>
  <si>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</si>
  <si>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</si>
  <si>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</si>
  <si>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</si>
  <si>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</si>
  <si>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</si>
  <si>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</si>
  <si>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</si>
  <si>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</si>
  <si>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</si>
  <si>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</si>
  <si>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</si>
  <si>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</si>
  <si>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</si>
  <si>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</si>
  <si>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</si>
  <si>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</si>
  <si>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</si>
  <si>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</si>
  <si>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</si>
  <si>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</si>
  <si>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</si>
  <si>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</si>
  <si>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</si>
  <si>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</si>
  <si>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</si>
  <si>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</si>
  <si>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</si>
  <si>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</si>
  <si>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</si>
  <si>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</si>
  <si>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</si>
  <si>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</si>
  <si>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</si>
  <si>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</si>
  <si>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</si>
  <si>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</si>
  <si>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</si>
  <si>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</si>
  <si>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</si>
  <si>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</si>
  <si>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</si>
  <si>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</si>
  <si>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</si>
  <si>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</si>
  <si>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</si>
  <si>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</si>
  <si>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</si>
  <si>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</si>
  <si>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</si>
  <si>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</si>
  <si>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</si>
  <si>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</si>
  <si>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</si>
  <si>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</si>
  <si>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</si>
  <si>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</si>
  <si>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</si>
  <si>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</si>
  <si>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</si>
  <si>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</si>
  <si>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</si>
  <si>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</si>
  <si>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</si>
  <si>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</si>
  <si>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</si>
  <si>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</si>
  <si>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</si>
  <si>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</si>
  <si>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</si>
  <si>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</si>
  <si>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</si>
  <si>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</si>
  <si>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</si>
  <si>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</si>
  <si>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</si>
  <si>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</si>
  <si>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</si>
  <si>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</si>
  <si>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</si>
  <si>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</si>
  <si>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</si>
  <si>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</si>
  <si>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</si>
  <si>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</si>
  <si>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</si>
  <si>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</si>
  <si>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</si>
  <si>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</si>
  <si>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</si>
  <si>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</si>
  <si>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</si>
  <si>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</si>
  <si>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</si>
  <si>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</si>
  <si>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</si>
  <si>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</si>
  <si>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</si>
  <si>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</si>
  <si>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</si>
  <si>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</si>
  <si>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</si>
  <si>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</si>
  <si>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</si>
  <si>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</si>
  <si>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</si>
  <si>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</si>
  <si>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</si>
  <si>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</si>
  <si>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</si>
  <si>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</si>
  <si>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</si>
  <si>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</si>
  <si>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</si>
  <si>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</si>
  <si>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</si>
  <si>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</si>
  <si>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</si>
  <si>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</si>
  <si>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</si>
  <si>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</si>
  <si>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</si>
  <si>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</si>
  <si>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</si>
  <si>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</si>
  <si>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</si>
  <si>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</si>
  <si>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</si>
  <si>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</si>
  <si>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</si>
  <si>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</si>
  <si>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</si>
  <si>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</si>
  <si>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</si>
  <si>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</si>
  <si>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</si>
  <si>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</si>
  <si>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</si>
  <si>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</si>
  <si>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</si>
  <si>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</si>
  <si>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</si>
  <si>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</si>
  <si>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</si>
  <si>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</si>
  <si>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</si>
  <si>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</si>
  <si>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</si>
  <si>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</si>
  <si>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</si>
  <si>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</si>
  <si>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</si>
  <si>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</si>
  <si>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</si>
  <si>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</si>
  <si>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</si>
  <si>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</si>
  <si>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</si>
  <si>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</si>
  <si>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</si>
  <si>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</si>
  <si>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</si>
  <si>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</si>
  <si>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</si>
  <si>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</si>
  <si>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</si>
  <si>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</si>
  <si>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</si>
  <si>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</si>
  <si>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</si>
  <si>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</si>
  <si>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</si>
  <si>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</si>
  <si>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</si>
  <si>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</si>
  <si>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</si>
  <si>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</si>
  <si>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</si>
  <si>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</si>
  <si>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</si>
  <si>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</si>
  <si>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</si>
  <si>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</si>
  <si>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</si>
  <si>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</si>
  <si>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</si>
  <si>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</si>
  <si>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</si>
  <si>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</si>
  <si>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</si>
  <si>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</si>
  <si>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</si>
  <si>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</si>
  <si>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</si>
  <si>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</si>
  <si>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</si>
  <si>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</si>
  <si>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</si>
  <si>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</si>
  <si>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</si>
  <si>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</si>
  <si>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</si>
  <si>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</si>
  <si>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</si>
  <si>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</si>
  <si>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</si>
  <si>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</si>
  <si>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</si>
  <si>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</si>
  <si>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</si>
  <si>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</si>
  <si>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</si>
  <si>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</si>
  <si>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</si>
  <si>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</si>
  <si>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</si>
  <si>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</si>
  <si>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</si>
  <si>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</si>
  <si>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</si>
  <si>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</si>
  <si>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</si>
  <si>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</si>
  <si>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</si>
  <si>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</si>
  <si>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</si>
  <si>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</si>
  <si>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</si>
  <si>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</si>
  <si>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</si>
  <si>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</si>
  <si>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</si>
  <si>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</si>
  <si>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</si>
  <si>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</si>
  <si>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</si>
  <si>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</si>
  <si>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</si>
  <si>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</si>
  <si>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</si>
  <si>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</si>
  <si>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</si>
  <si>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</si>
  <si>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</si>
  <si>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</si>
  <si>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</si>
  <si>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</si>
  <si>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</si>
  <si>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</si>
  <si>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</si>
  <si>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</si>
  <si>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</si>
  <si>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</si>
  <si>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</si>
  <si>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</si>
  <si>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</si>
  <si>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</si>
  <si>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</si>
  <si>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</si>
  <si>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</si>
  <si>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</si>
  <si>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</si>
  <si>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</si>
  <si>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</si>
  <si>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</si>
  <si>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</si>
  <si>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</si>
  <si>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</si>
  <si>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</si>
  <si>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</si>
  <si>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</si>
  <si>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</si>
  <si>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</si>
  <si>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</si>
  <si>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</si>
  <si>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</si>
  <si>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</si>
  <si>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</si>
  <si>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</si>
  <si>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</si>
  <si>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</si>
  <si>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</si>
  <si>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</si>
  <si>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</si>
  <si>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</si>
  <si>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</si>
  <si>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</si>
  <si>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</si>
  <si>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</si>
  <si>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</si>
  <si>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</si>
  <si>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</si>
  <si>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</si>
  <si>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</si>
  <si>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</si>
  <si>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</si>
  <si>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</si>
  <si>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</si>
  <si>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</si>
  <si>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</si>
  <si>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</si>
  <si>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</si>
  <si>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</si>
  <si>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</si>
  <si>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</si>
  <si>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</si>
  <si>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</si>
  <si>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</si>
  <si>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</si>
  <si>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</si>
  <si>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</si>
  <si>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</si>
  <si>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</si>
  <si>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</si>
  <si>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</si>
  <si>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</si>
  <si>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</si>
  <si>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</si>
  <si>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</si>
  <si>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</si>
  <si>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</si>
  <si>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</si>
  <si>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</si>
  <si>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</si>
  <si>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</si>
  <si>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</si>
  <si>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</si>
  <si>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</si>
  <si>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</si>
  <si>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</si>
  <si>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</si>
  <si>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</si>
  <si>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</si>
  <si>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</si>
  <si>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</si>
  <si>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</si>
  <si>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</si>
  <si>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</si>
  <si>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</si>
  <si>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</si>
  <si>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</si>
  <si>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</si>
  <si>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</si>
  <si>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</si>
  <si>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</si>
  <si>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</si>
  <si>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</si>
  <si>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</si>
  <si>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</si>
  <si>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</si>
  <si>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</si>
  <si>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</si>
  <si>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</si>
  <si>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</si>
  <si>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</si>
  <si>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</si>
  <si>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</si>
  <si>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</si>
  <si>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</si>
  <si>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</si>
  <si>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</si>
  <si>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</si>
  <si>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</si>
  <si>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</si>
  <si>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</si>
  <si>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</si>
  <si>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</si>
  <si>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</si>
  <si>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</si>
  <si>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</si>
  <si>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</si>
  <si>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</si>
  <si>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</si>
  <si>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</si>
  <si>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</si>
  <si>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</si>
  <si>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</si>
  <si>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</si>
  <si>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</si>
  <si>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</si>
  <si>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</si>
  <si>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</si>
  <si>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</si>
  <si>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</si>
  <si>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</si>
  <si>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</si>
  <si>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</si>
  <si>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</si>
  <si>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</si>
  <si>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</si>
  <si>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</si>
  <si>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</si>
  <si>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</si>
  <si>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</si>
  <si>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</si>
  <si>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</si>
  <si>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</si>
  <si>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</si>
  <si>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</si>
  <si>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</si>
  <si>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</si>
  <si>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</si>
  <si>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</si>
  <si>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</si>
  <si>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</si>
  <si>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</si>
  <si>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</si>
  <si>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</si>
  <si>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</si>
  <si>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</si>
  <si>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</si>
  <si>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</si>
  <si>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</si>
  <si>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</si>
  <si>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</si>
  <si>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</si>
  <si>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</si>
  <si>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</si>
  <si>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</si>
  <si>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</si>
  <si>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</si>
  <si>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</si>
  <si>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</si>
  <si>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</si>
  <si>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</si>
  <si>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</si>
  <si>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</si>
  <si>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</si>
  <si>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</si>
  <si>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</si>
  <si>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</si>
  <si>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</si>
  <si>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</si>
  <si>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</si>
  <si>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</si>
  <si>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</si>
  <si>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</si>
  <si>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</si>
  <si>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</si>
  <si>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</si>
  <si>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</si>
  <si>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</si>
  <si>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</si>
  <si>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</si>
  <si>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</si>
  <si>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</si>
  <si>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</si>
  <si>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</si>
  <si>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</si>
  <si>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</si>
  <si>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</si>
  <si>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</si>
  <si>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</si>
  <si>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</si>
  <si>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</si>
  <si>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</si>
  <si>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</si>
  <si>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</si>
  <si>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</si>
  <si>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</si>
  <si>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</si>
  <si>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</si>
  <si>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</si>
  <si>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</si>
  <si>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</si>
  <si>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</si>
  <si>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</si>
  <si>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</si>
  <si>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</si>
  <si>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</si>
  <si>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</si>
  <si>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</si>
  <si>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</si>
  <si>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</si>
  <si>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</si>
  <si>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</si>
  <si>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</si>
  <si>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</si>
  <si>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</si>
  <si>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</si>
  <si>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</si>
  <si>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</si>
  <si>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</si>
  <si>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</si>
  <si>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</si>
  <si>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</si>
  <si>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</si>
  <si>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</si>
  <si>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</si>
  <si>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</si>
  <si>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</si>
  <si>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</si>
  <si>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</si>
  <si>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</si>
  <si>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</si>
  <si>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</si>
  <si>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</si>
  <si>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</si>
  <si>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</si>
  <si>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</si>
  <si>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</si>
  <si>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</si>
  <si>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</si>
  <si>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</si>
  <si>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</si>
  <si>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</si>
  <si>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</si>
  <si>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</si>
  <si>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</si>
  <si>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</si>
  <si>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</si>
  <si>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</si>
  <si>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</si>
  <si>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</si>
  <si>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</si>
  <si>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</si>
  <si>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</si>
  <si>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</si>
  <si>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</si>
  <si>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</si>
  <si>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</si>
  <si>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</si>
  <si>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</si>
  <si>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</si>
  <si>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</si>
  <si>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</si>
  <si>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</si>
  <si>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</si>
  <si>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</si>
  <si>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</si>
  <si>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</si>
  <si>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</si>
  <si>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</si>
  <si>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</si>
  <si>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</si>
  <si>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</si>
  <si>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</si>
  <si>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</si>
  <si>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</si>
  <si>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</si>
  <si>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</si>
  <si>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</si>
  <si>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</si>
  <si>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</si>
  <si>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</si>
  <si>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</si>
  <si>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</si>
  <si>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</si>
  <si>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</si>
  <si>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</si>
  <si>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</si>
  <si>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</si>
  <si>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</si>
  <si>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</si>
  <si>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</si>
  <si>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</si>
  <si>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</si>
  <si>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</si>
  <si>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</si>
  <si>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</si>
  <si>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</si>
  <si>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</si>
  <si>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</si>
  <si>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</si>
  <si>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</si>
  <si>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</si>
  <si>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</si>
  <si>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</si>
  <si>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</si>
  <si>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</si>
  <si>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</si>
  <si>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</si>
  <si>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</si>
  <si>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</si>
  <si>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</si>
  <si>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</si>
  <si>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</si>
  <si>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</si>
  <si>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</si>
  <si>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</si>
  <si>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</si>
  <si>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</si>
  <si>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</si>
  <si>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</si>
  <si>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</si>
  <si>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</si>
  <si>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</si>
  <si>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</si>
  <si>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</si>
  <si>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</si>
  <si>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</si>
  <si>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</si>
  <si>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</si>
  <si>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</si>
  <si>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</si>
  <si>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</si>
  <si>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</si>
  <si>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</si>
  <si>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</si>
  <si>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</si>
  <si>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</si>
  <si>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</si>
  <si>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</si>
  <si>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</si>
  <si>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</si>
  <si>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</si>
  <si>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</si>
  <si>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</si>
  <si>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</si>
  <si>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</si>
  <si>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</si>
  <si>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</si>
  <si>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</si>
  <si>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</si>
  <si>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</si>
  <si>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</si>
  <si>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</si>
  <si>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</si>
  <si>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</si>
  <si>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</si>
  <si>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</si>
  <si>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</si>
  <si>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</si>
  <si>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</si>
  <si>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</si>
  <si>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</si>
  <si>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</si>
  <si>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</si>
  <si>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</si>
  <si>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</si>
  <si>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</si>
  <si>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</si>
  <si>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</si>
  <si>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</si>
  <si>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</si>
  <si>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</si>
  <si>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</si>
  <si>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</si>
  <si>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</si>
  <si>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</si>
  <si>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</si>
  <si>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</si>
  <si>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</si>
  <si>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</si>
  <si>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</si>
  <si>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</si>
  <si>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</si>
  <si>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</si>
  <si>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</si>
  <si>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</si>
  <si>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</si>
  <si>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</si>
  <si>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</si>
  <si>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</si>
  <si>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</si>
  <si>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</si>
  <si>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</si>
  <si>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</si>
  <si>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</si>
  <si>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</si>
  <si>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</si>
  <si>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</si>
  <si>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</si>
  <si>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</si>
  <si>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</si>
  <si>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</si>
  <si>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</si>
  <si>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</si>
  <si>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</si>
  <si>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</si>
  <si>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</si>
  <si>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</si>
  <si>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</si>
  <si>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</si>
  <si>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</si>
  <si>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</si>
  <si>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</si>
  <si>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</si>
  <si>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</si>
  <si>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</si>
  <si>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</si>
  <si>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</si>
  <si>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</si>
  <si>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</si>
  <si>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</si>
  <si>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</si>
  <si>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</si>
  <si>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</si>
  <si>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</si>
  <si>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</si>
  <si>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</si>
  <si>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</si>
  <si>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</si>
  <si>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</si>
  <si>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</si>
  <si>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</si>
  <si>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</si>
  <si>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</si>
  <si>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</si>
  <si>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</si>
  <si>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</si>
  <si>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</si>
  <si>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</si>
  <si>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</si>
  <si>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</si>
  <si>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</si>
  <si>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</si>
  <si>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</si>
  <si>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</si>
  <si>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</si>
  <si>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</si>
  <si>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</si>
  <si>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</si>
  <si>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</si>
  <si>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</si>
  <si>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</si>
  <si>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</si>
  <si>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</si>
  <si>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</si>
  <si>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</si>
  <si>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</si>
  <si>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</si>
  <si>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</si>
  <si>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</si>
  <si>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</si>
  <si>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</si>
  <si>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</si>
  <si>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</si>
  <si>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</si>
  <si>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</si>
  <si>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</si>
  <si>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</si>
  <si>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</si>
  <si>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</si>
  <si>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</si>
  <si>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</si>
  <si>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</si>
  <si>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</si>
  <si>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</si>
  <si>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</si>
  <si>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</si>
  <si>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</si>
  <si>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</si>
  <si>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</si>
  <si>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</si>
  <si>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</si>
  <si>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</si>
  <si>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</si>
  <si>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</si>
  <si>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</si>
  <si>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</si>
  <si>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</si>
  <si>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</si>
  <si>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</si>
  <si>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</si>
  <si>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</si>
  <si>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</si>
  <si>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</si>
  <si>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</si>
  <si>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</si>
  <si>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</si>
  <si>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</si>
  <si>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</si>
  <si>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</si>
  <si>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</si>
  <si>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</si>
  <si>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</si>
  <si>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</si>
  <si>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</si>
  <si>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</si>
  <si>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</si>
  <si>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</si>
  <si>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</si>
  <si>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</si>
  <si>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</si>
  <si>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</si>
  <si>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</si>
  <si>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</si>
  <si>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</si>
  <si>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</si>
  <si>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</si>
  <si>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</si>
  <si>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</si>
  <si>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</si>
  <si>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</si>
  <si>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</si>
  <si>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</si>
  <si>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</si>
  <si>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</si>
  <si>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</si>
  <si>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</si>
  <si>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</si>
  <si>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</si>
  <si>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</si>
  <si>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</si>
  <si>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</si>
  <si>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</si>
  <si>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</si>
  <si>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</si>
  <si>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</si>
  <si>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</si>
  <si>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</si>
  <si>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</si>
  <si>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</si>
  <si>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</si>
  <si>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</si>
  <si>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</si>
  <si>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</si>
  <si>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</si>
  <si>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</si>
  <si>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</si>
  <si>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</si>
  <si>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</si>
  <si>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</si>
  <si>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</si>
  <si>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</si>
  <si>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</si>
  <si>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</si>
  <si>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</si>
  <si>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</si>
  <si>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</si>
  <si>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</si>
  <si>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</si>
  <si>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</si>
  <si>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</si>
  <si>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</si>
  <si>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</si>
  <si>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</si>
  <si>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</si>
  <si>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</si>
  <si>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</si>
  <si>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</si>
  <si>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</si>
  <si>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</si>
  <si>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</si>
  <si>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</si>
  <si>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</si>
  <si>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</si>
  <si>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</si>
  <si>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</si>
  <si>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</si>
  <si>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</si>
  <si>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</si>
  <si>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</si>
  <si>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</si>
  <si>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</si>
  <si>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</si>
  <si>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</si>
  <si>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</si>
  <si>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</si>
  <si>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</si>
  <si>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</si>
  <si>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</si>
  <si>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</si>
  <si>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</si>
  <si>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</si>
  <si>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</si>
  <si>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</si>
  <si>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</si>
  <si>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</si>
  <si>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</si>
  <si>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</si>
  <si>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</si>
  <si>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</si>
  <si>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</si>
  <si>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</si>
  <si>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</si>
  <si>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</si>
  <si>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</si>
  <si>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</si>
  <si>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</si>
  <si>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</si>
  <si>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</si>
  <si>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</si>
  <si>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</si>
  <si>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</si>
  <si>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</si>
  <si>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</si>
  <si>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</si>
  <si>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</si>
  <si>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</si>
  <si>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</si>
  <si>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</si>
  <si>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</si>
  <si>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</si>
  <si>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</si>
  <si>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</si>
  <si>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</si>
  <si>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</si>
  <si>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</si>
  <si>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</si>
  <si>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</si>
  <si>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</si>
  <si>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</si>
  <si>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</si>
  <si>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</si>
  <si>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</si>
  <si>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</si>
  <si>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</si>
  <si>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</si>
  <si>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</si>
  <si>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</si>
  <si>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</si>
  <si>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</si>
  <si>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</si>
  <si>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</si>
  <si>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</si>
  <si>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</si>
  <si>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</si>
  <si>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</si>
  <si>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</si>
  <si>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</si>
  <si>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</si>
  <si>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</si>
  <si>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</si>
  <si>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</si>
  <si>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</si>
  <si>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</si>
  <si>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</si>
  <si>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</si>
  <si>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</si>
  <si>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</si>
  <si>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</si>
  <si>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</si>
  <si>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</si>
  <si>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</si>
  <si>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</si>
  <si>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</si>
  <si>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</si>
  <si>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</si>
  <si>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</si>
  <si>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</si>
  <si>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</si>
  <si>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</si>
  <si>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</si>
  <si>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</si>
  <si>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</si>
  <si>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</si>
  <si>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</si>
  <si>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</si>
  <si>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</si>
  <si>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</si>
  <si>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</si>
  <si>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</si>
  <si>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</si>
  <si>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</si>
  <si>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</si>
  <si>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</si>
  <si>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</si>
  <si>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</si>
  <si>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</si>
  <si>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</si>
  <si>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</si>
  <si>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</si>
  <si>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</si>
  <si>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</si>
  <si>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</si>
  <si>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</si>
  <si>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</si>
  <si>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</si>
  <si>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</si>
  <si>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</si>
  <si>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</si>
  <si>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</si>
  <si>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</si>
  <si>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</si>
  <si>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</si>
  <si>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</si>
  <si>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</si>
  <si>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</si>
  <si>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</si>
  <si>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</si>
  <si>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</si>
  <si>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</si>
  <si>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</si>
  <si>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</si>
  <si>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</si>
  <si>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</si>
  <si>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</si>
  <si>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</si>
  <si>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</si>
  <si>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</si>
  <si>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</si>
  <si>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</si>
  <si>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</si>
  <si>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</si>
  <si>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</si>
  <si>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</si>
  <si>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</si>
  <si>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</si>
  <si>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</si>
  <si>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</si>
  <si>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</si>
  <si>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</si>
  <si>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</si>
  <si>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</si>
  <si>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</si>
  <si>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</si>
  <si>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</si>
  <si>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</si>
  <si>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</si>
  <si>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</si>
  <si>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</si>
  <si>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</si>
  <si>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</si>
  <si>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</si>
  <si>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</si>
  <si>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</si>
  <si>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</si>
  <si>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</si>
  <si>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</si>
  <si>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</si>
  <si>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</si>
  <si>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</si>
  <si>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</si>
  <si>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</si>
  <si>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</si>
  <si>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</si>
  <si>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</si>
  <si>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</si>
  <si>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</si>
  <si>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</si>
  <si>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</si>
  <si>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</si>
  <si>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</si>
  <si>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</si>
  <si>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</si>
  <si>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</si>
  <si>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</si>
  <si>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</si>
  <si>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</si>
  <si>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</si>
  <si>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</si>
  <si>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</si>
  <si>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</si>
  <si>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</si>
  <si>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</si>
  <si>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</si>
  <si>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</si>
  <si>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</si>
  <si>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</si>
  <si>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</si>
  <si>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</si>
  <si>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</si>
  <si>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</si>
  <si>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</si>
  <si>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</si>
  <si>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</si>
  <si>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</si>
  <si>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</si>
  <si>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</si>
  <si>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</si>
  <si>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</si>
  <si>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</si>
  <si>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</si>
  <si>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</si>
  <si>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</si>
  <si>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</si>
  <si>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</si>
  <si>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</si>
  <si>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</si>
  <si>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</si>
  <si>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</si>
  <si>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</si>
  <si>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</si>
  <si>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</si>
  <si>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</si>
  <si>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</si>
  <si>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</si>
  <si>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</si>
  <si>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</si>
  <si>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</si>
  <si>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</si>
  <si>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</si>
  <si>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</si>
  <si>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</si>
  <si>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</si>
  <si>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</si>
  <si>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</si>
  <si>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</si>
  <si>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</si>
  <si>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</si>
  <si>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</si>
  <si>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</si>
  <si>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</si>
  <si>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</si>
  <si>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</si>
  <si>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</si>
  <si>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</si>
  <si>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</si>
  <si>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</si>
  <si>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</si>
  <si>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</si>
  <si>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</si>
  <si>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</si>
  <si>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</si>
  <si>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</si>
  <si>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</si>
  <si>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</si>
  <si>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</si>
  <si>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</si>
  <si>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</si>
  <si>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</si>
  <si>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</si>
  <si>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</si>
  <si>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</si>
  <si>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</si>
  <si>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</si>
  <si>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</si>
  <si>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</si>
  <si>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</si>
  <si>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</si>
  <si>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</si>
  <si>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</si>
  <si>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</si>
  <si>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</si>
  <si>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</si>
  <si>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</si>
  <si>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</si>
  <si>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</si>
  <si>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</si>
  <si>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</si>
  <si>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</si>
  <si>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</si>
  <si>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</si>
  <si>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</si>
  <si>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</si>
  <si>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</si>
  <si>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</si>
  <si>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</si>
  <si>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</si>
  <si>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</si>
  <si>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</si>
  <si>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</si>
  <si>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</si>
  <si>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</si>
  <si>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</si>
  <si>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</si>
  <si>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</si>
  <si>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</si>
  <si>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</si>
  <si>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</si>
  <si>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</si>
  <si>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</si>
  <si>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</si>
  <si>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</si>
  <si>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</si>
  <si>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</si>
  <si>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</si>
  <si>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</si>
  <si>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</si>
  <si>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</si>
  <si>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</si>
  <si>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</si>
  <si>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</si>
  <si>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</si>
  <si>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</si>
  <si>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</si>
  <si>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</si>
  <si>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</si>
  <si>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</si>
  <si>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</si>
  <si>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</si>
  <si>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</si>
  <si>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</si>
  <si>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</si>
  <si>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</si>
  <si>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</si>
  <si>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</si>
  <si>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</si>
  <si>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</si>
  <si>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</si>
  <si>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</si>
  <si>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</si>
  <si>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</si>
  <si>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</si>
  <si>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</si>
  <si>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</si>
  <si>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</si>
  <si>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</si>
  <si>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</si>
  <si>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</si>
  <si>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</si>
  <si>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</si>
  <si>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</si>
  <si>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</si>
  <si>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</si>
  <si>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</si>
  <si>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</si>
  <si>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</si>
  <si>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</si>
  <si>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</si>
  <si>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</si>
  <si>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</si>
  <si>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</si>
  <si>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</si>
  <si>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</si>
  <si>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</si>
  <si>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</si>
  <si>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</si>
  <si>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</si>
  <si>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</si>
  <si>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</si>
  <si>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</si>
  <si>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</si>
  <si>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</si>
  <si>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</si>
  <si>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</si>
  <si>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</si>
  <si>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</si>
  <si>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</si>
  <si>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</si>
  <si>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</si>
  <si>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</si>
  <si>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</si>
  <si>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</si>
  <si>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</si>
  <si>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</si>
  <si>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</si>
  <si>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</si>
  <si>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</si>
  <si>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</si>
  <si>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</si>
  <si>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</si>
  <si>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</si>
  <si>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</si>
  <si>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</si>
  <si>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</si>
  <si>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</si>
  <si>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</si>
  <si>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</si>
  <si>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</si>
  <si>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</si>
  <si>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</si>
  <si>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</si>
  <si>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</si>
  <si>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</si>
  <si>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</si>
  <si>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</si>
  <si>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</si>
  <si>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</si>
  <si>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</si>
  <si>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</si>
  <si>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</si>
  <si>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</si>
  <si>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</si>
  <si>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</si>
  <si>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</si>
  <si>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</si>
  <si>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</si>
  <si>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</si>
  <si>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</si>
  <si>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</si>
  <si>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</si>
  <si>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</si>
  <si>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</si>
  <si>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</si>
  <si>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</si>
  <si>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</si>
  <si>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</si>
  <si>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</si>
  <si>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</si>
  <si>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</si>
  <si>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</si>
  <si>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</si>
  <si>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</si>
  <si>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</si>
  <si>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</si>
  <si>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</si>
  <si>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</si>
  <si>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</si>
  <si>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</si>
  <si>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</si>
  <si>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</si>
  <si>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</si>
  <si>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</si>
  <si>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</si>
  <si>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</si>
  <si>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</si>
  <si>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</si>
  <si>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</si>
  <si>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</si>
  <si>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</si>
  <si>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</si>
  <si>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</si>
  <si>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</si>
  <si>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</si>
  <si>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</si>
  <si>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</si>
  <si>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</si>
  <si>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</si>
  <si>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</si>
  <si>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</si>
  <si>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</si>
  <si>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</si>
  <si>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</si>
  <si>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</si>
  <si>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</si>
  <si>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</si>
  <si>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</si>
  <si>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</si>
  <si>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</si>
  <si>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</si>
  <si>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</si>
  <si>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</si>
  <si>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</si>
  <si>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</si>
  <si>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</si>
  <si>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</si>
  <si>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</si>
  <si>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</si>
  <si>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</si>
  <si>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</si>
  <si>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</si>
  <si>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</si>
  <si>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</si>
  <si>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</si>
  <si>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</si>
  <si>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</si>
  <si>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</si>
  <si>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</si>
  <si>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</si>
  <si>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</si>
  <si>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</si>
  <si>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</si>
  <si>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</si>
  <si>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</si>
  <si>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</si>
  <si>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</si>
  <si>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</si>
  <si>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</si>
  <si>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</si>
  <si>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</si>
  <si>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</si>
  <si>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</si>
  <si>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</si>
  <si>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</si>
  <si>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</si>
  <si>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</si>
  <si>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</si>
  <si>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</si>
  <si>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</si>
  <si>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</si>
  <si>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</si>
  <si>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</si>
  <si>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</si>
  <si>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</si>
  <si>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</si>
  <si>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</si>
  <si>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</si>
  <si>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</si>
  <si>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</si>
  <si>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</si>
  <si>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</si>
  <si>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</si>
  <si>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</si>
  <si>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</si>
  <si>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</si>
  <si>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</si>
  <si>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</si>
  <si>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</si>
  <si>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</si>
  <si>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</si>
  <si>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</si>
  <si>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</si>
  <si>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</si>
  <si>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</si>
  <si>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</si>
  <si>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</si>
  <si>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</si>
  <si>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</si>
  <si>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</si>
  <si>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</si>
  <si>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</si>
  <si>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</si>
  <si>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</si>
  <si>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</si>
  <si>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</si>
  <si>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</si>
  <si>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</si>
  <si>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</si>
  <si>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</si>
  <si>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</si>
  <si>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</si>
  <si>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</si>
  <si>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</si>
  <si>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</si>
  <si>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</si>
  <si>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</si>
  <si>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</si>
  <si>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</si>
  <si>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</si>
  <si>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</si>
  <si>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</si>
  <si>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</si>
  <si>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</si>
  <si>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</si>
  <si>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</si>
  <si>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</si>
  <si>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</si>
  <si>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</si>
  <si>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</si>
  <si>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</si>
  <si>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</si>
  <si>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</si>
  <si>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</si>
  <si>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</si>
  <si>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</si>
  <si>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</si>
  <si>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</si>
  <si>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</si>
  <si>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</si>
  <si>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</si>
  <si>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</si>
  <si>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</si>
  <si>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</si>
  <si>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</si>
  <si>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</si>
  <si>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</si>
  <si>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</si>
  <si>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</si>
  <si>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</si>
  <si>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</si>
  <si>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</si>
  <si>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</si>
  <si>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</si>
  <si>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</si>
  <si>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</si>
  <si>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</si>
  <si>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</si>
  <si>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</si>
  <si>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</si>
  <si>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</si>
  <si>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</si>
  <si>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</si>
  <si>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</si>
  <si>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</si>
  <si>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</si>
  <si>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</si>
  <si>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</si>
  <si>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</si>
  <si>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</si>
  <si>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</si>
  <si>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</si>
  <si>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</si>
  <si>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</si>
  <si>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</si>
  <si>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</si>
  <si>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</si>
  <si>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</si>
  <si>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</si>
  <si>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</si>
  <si>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</si>
  <si>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</si>
  <si>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</si>
  <si>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</si>
  <si>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</si>
  <si>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</si>
  <si>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</si>
  <si>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</si>
  <si>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</si>
  <si>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</si>
  <si>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</si>
  <si>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</si>
  <si>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</si>
  <si>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</si>
  <si>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</si>
  <si>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</si>
  <si>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</si>
  <si>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</si>
  <si>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</si>
  <si>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</si>
  <si>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</si>
  <si>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</si>
  <si>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</si>
  <si>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</si>
  <si>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</si>
  <si>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</si>
  <si>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</si>
  <si>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</si>
  <si>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</si>
  <si>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</si>
  <si>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</si>
  <si>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</si>
  <si>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</si>
  <si>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</si>
  <si>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</si>
  <si>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</si>
  <si>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</si>
  <si>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</si>
  <si>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</si>
  <si>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</si>
  <si>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</si>
  <si>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</si>
  <si>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</si>
  <si>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</si>
  <si>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</si>
  <si>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</si>
  <si>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</si>
  <si>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</si>
  <si>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</si>
  <si>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</si>
  <si>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</si>
  <si>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</si>
  <si>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</si>
  <si>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</si>
  <si>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</si>
  <si>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</si>
  <si>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</si>
  <si>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</si>
  <si>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</si>
  <si>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</si>
  <si>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</si>
  <si>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</si>
  <si>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</si>
  <si>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</si>
  <si>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</si>
  <si>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</si>
  <si>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</si>
  <si>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</si>
  <si>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</si>
  <si>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</si>
  <si>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</si>
  <si>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</si>
  <si>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</si>
  <si>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</si>
  <si>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</si>
  <si>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</si>
  <si>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</si>
  <si>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</si>
  <si>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</si>
  <si>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</si>
  <si>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</si>
  <si>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</si>
  <si>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</si>
  <si>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</si>
  <si>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</si>
  <si>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</si>
  <si>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</si>
  <si>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</si>
  <si>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</si>
  <si>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</si>
  <si>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</si>
  <si>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</si>
  <si>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</si>
  <si>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</si>
  <si>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</si>
  <si>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</si>
  <si>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</si>
  <si>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</si>
  <si>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</si>
  <si>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</si>
  <si>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</si>
  <si>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</si>
  <si>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</si>
  <si>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</si>
  <si>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</si>
  <si>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</si>
  <si>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</si>
  <si>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</si>
  <si>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</si>
  <si>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</si>
  <si>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</si>
  <si>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</si>
  <si>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</si>
  <si>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</si>
  <si>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</si>
  <si>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</si>
  <si>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</si>
  <si>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</si>
  <si>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</si>
  <si>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</si>
  <si>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</si>
  <si>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</si>
  <si>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</si>
  <si>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</si>
  <si>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</si>
  <si>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</si>
  <si>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</si>
  <si>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</si>
  <si>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</si>
  <si>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</si>
  <si>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</si>
  <si>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</si>
  <si>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</si>
  <si>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</si>
  <si>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</si>
  <si>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</si>
  <si>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</si>
  <si>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</si>
  <si>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</si>
  <si>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</si>
  <si>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</si>
  <si>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</si>
  <si>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</si>
  <si>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</si>
  <si>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</si>
  <si>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</si>
  <si>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</si>
  <si>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</si>
  <si>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</si>
  <si>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</si>
  <si>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</si>
  <si>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</si>
  <si>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</si>
  <si>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</si>
  <si>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</si>
  <si>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</si>
  <si>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</si>
  <si>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</si>
  <si>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</si>
  <si>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</si>
  <si>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</si>
  <si>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</si>
  <si>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</si>
  <si>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</si>
  <si>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</si>
  <si>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</si>
  <si>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</si>
  <si>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</si>
  <si>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</si>
  <si>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</si>
  <si>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</si>
  <si>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</si>
  <si>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</si>
  <si>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</si>
  <si>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</si>
  <si>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</si>
  <si>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</si>
  <si>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</si>
  <si>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</si>
  <si>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</si>
  <si>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</si>
  <si>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</si>
  <si>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</si>
  <si>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</si>
  <si>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</si>
  <si>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</si>
  <si>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</si>
  <si>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</si>
  <si>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</si>
  <si>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</si>
  <si>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</si>
  <si>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</si>
  <si>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</si>
  <si>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</si>
  <si>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</si>
  <si>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</si>
  <si>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</si>
  <si>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</si>
  <si>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</si>
  <si>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</si>
  <si>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</si>
  <si>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</si>
  <si>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</si>
  <si>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</si>
  <si>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</si>
  <si>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</si>
  <si>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</si>
  <si>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</si>
  <si>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</si>
  <si>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</si>
  <si>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</si>
  <si>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</si>
  <si>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</si>
  <si>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</si>
  <si>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</si>
  <si>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</si>
  <si>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</si>
  <si>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</si>
  <si>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</si>
  <si>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</si>
  <si>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</si>
  <si>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</si>
  <si>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</si>
  <si>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</si>
  <si>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</si>
  <si>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</si>
  <si>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</si>
  <si>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</si>
  <si>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</si>
  <si>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</si>
  <si>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</si>
  <si>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</si>
  <si>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</si>
  <si>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</si>
  <si>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</si>
  <si>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</si>
  <si>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</si>
  <si>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</si>
  <si>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</si>
  <si>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</si>
  <si>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</si>
  <si>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</si>
  <si>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</si>
  <si>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</si>
  <si>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</si>
  <si>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</si>
  <si>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</si>
  <si>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</si>
  <si>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</si>
  <si>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</si>
  <si>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</si>
  <si>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</si>
  <si>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</si>
  <si>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</si>
  <si>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</si>
  <si>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</si>
  <si>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</si>
  <si>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</si>
  <si>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</si>
  <si>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</si>
  <si>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</si>
  <si>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</si>
  <si>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</si>
  <si>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</si>
  <si>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</si>
  <si>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</si>
  <si>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</si>
  <si>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</si>
  <si>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</si>
  <si>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</si>
  <si>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</si>
  <si>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</si>
  <si>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</si>
  <si>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</si>
  <si>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</si>
  <si>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</si>
  <si>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</si>
  <si>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</si>
  <si>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</si>
  <si>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</si>
  <si>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</si>
  <si>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</si>
  <si>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</si>
  <si>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</si>
  <si>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</si>
  <si>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</si>
  <si>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</si>
  <si>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</si>
  <si>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</si>
  <si>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</si>
  <si>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</si>
  <si>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</si>
  <si>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</si>
  <si>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</si>
  <si>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</si>
  <si>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</si>
  <si>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</si>
  <si>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</si>
  <si>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</si>
  <si>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</si>
  <si>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</si>
  <si>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</si>
  <si>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</si>
  <si>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</si>
  <si>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</si>
  <si>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</si>
  <si>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</si>
  <si>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</si>
  <si>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</si>
  <si>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</si>
  <si>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</si>
  <si>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</si>
  <si>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</si>
  <si>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</si>
  <si>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</si>
  <si>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</si>
  <si>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</si>
  <si>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</si>
  <si>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</si>
  <si>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</si>
  <si>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</si>
  <si>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</si>
  <si>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</si>
  <si>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</si>
  <si>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</si>
  <si>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</si>
  <si>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</si>
  <si>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</si>
  <si>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</si>
  <si>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</si>
  <si>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</si>
  <si>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</si>
  <si>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</si>
  <si>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</si>
  <si>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</si>
  <si>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</si>
  <si>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</si>
  <si>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</si>
  <si>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</si>
  <si>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</si>
  <si>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</si>
  <si>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</si>
  <si>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</si>
  <si>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</si>
  <si>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</si>
  <si>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</si>
  <si>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</si>
  <si>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</si>
  <si>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</si>
  <si>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</si>
  <si>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</si>
  <si>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</si>
  <si>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</si>
  <si>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</si>
  <si>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</si>
  <si>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</si>
  <si>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</si>
  <si>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</si>
  <si>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</si>
  <si>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</si>
  <si>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</si>
  <si>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</si>
  <si>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</si>
  <si>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</si>
  <si>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</si>
  <si>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</si>
  <si>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</si>
  <si>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</si>
  <si>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</si>
  <si>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</si>
  <si>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</si>
  <si>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</si>
  <si>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</si>
  <si>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</si>
  <si>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</si>
  <si>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</si>
  <si>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</si>
  <si>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</si>
  <si>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</si>
  <si>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</si>
  <si>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</si>
  <si>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</si>
  <si>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</si>
  <si>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</si>
  <si>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</si>
  <si>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</si>
  <si>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</si>
  <si>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</si>
  <si>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</si>
  <si>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</si>
  <si>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</si>
  <si>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</si>
  <si>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</si>
  <si>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</si>
  <si>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</si>
  <si>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</si>
  <si>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</si>
  <si>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</si>
  <si>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</si>
  <si>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</si>
  <si>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</si>
  <si>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</si>
  <si>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</si>
  <si>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</si>
  <si>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</si>
  <si>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</si>
  <si>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</si>
  <si>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</si>
  <si>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</si>
  <si>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</si>
  <si>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</si>
  <si>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</si>
  <si>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</si>
  <si>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</si>
  <si>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</si>
  <si>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</si>
  <si>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</si>
  <si>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</si>
  <si>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</si>
  <si>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</si>
  <si>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</si>
  <si>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</si>
  <si>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</si>
  <si>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</si>
  <si>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</si>
  <si>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</si>
  <si>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</si>
  <si>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</si>
  <si>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</si>
  <si>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</si>
  <si>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</si>
  <si>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</si>
  <si>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</si>
  <si>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</si>
  <si>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</si>
  <si>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</si>
  <si>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</si>
  <si>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</si>
  <si>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</si>
  <si>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</si>
  <si>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</si>
  <si>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</si>
  <si>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</si>
  <si>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</si>
  <si>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</si>
  <si>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</si>
  <si>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</si>
  <si>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</si>
  <si>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</si>
  <si>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</si>
  <si>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</si>
  <si>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</si>
  <si>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</si>
  <si>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</si>
  <si>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</si>
  <si>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</si>
  <si>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</si>
  <si>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</si>
  <si>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</si>
  <si>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</si>
  <si>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</si>
  <si>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</si>
  <si>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</si>
  <si>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</si>
  <si>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</si>
  <si>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</si>
  <si>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</si>
  <si>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</si>
  <si>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</si>
  <si>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</si>
  <si>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</si>
  <si>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</si>
  <si>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</si>
  <si>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</si>
  <si>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</si>
  <si>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</si>
  <si>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</si>
  <si>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</si>
  <si>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</si>
  <si>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</si>
  <si>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</si>
  <si>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</si>
  <si>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</si>
  <si>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</si>
  <si>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</si>
  <si>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</si>
  <si>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</si>
  <si>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</si>
  <si>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</si>
  <si>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</si>
  <si>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</si>
  <si>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</si>
  <si>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</si>
  <si>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</si>
  <si>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</si>
  <si>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</si>
  <si>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</si>
  <si>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</si>
  <si>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</si>
  <si>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</si>
  <si>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</si>
  <si>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</si>
  <si>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</si>
  <si>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</si>
  <si>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</si>
  <si>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</si>
  <si>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</si>
  <si>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</si>
  <si>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</si>
  <si>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</si>
  <si>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</si>
  <si>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</si>
  <si>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</si>
  <si>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</si>
  <si>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</si>
  <si>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</si>
  <si>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</si>
  <si>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</si>
  <si>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</si>
  <si>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</si>
  <si>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</si>
  <si>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</si>
  <si>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</si>
  <si>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</si>
  <si>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</si>
  <si>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</si>
  <si>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</si>
  <si>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</si>
  <si>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</si>
  <si>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</si>
  <si>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</si>
  <si>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</si>
  <si>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</si>
  <si>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</si>
  <si>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</si>
  <si>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</si>
  <si>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</si>
  <si>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</si>
  <si>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</si>
  <si>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</si>
  <si>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</si>
  <si>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</si>
  <si>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</si>
  <si>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</si>
  <si>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</si>
  <si>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</si>
  <si>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</si>
  <si>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</si>
  <si>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</si>
  <si>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</si>
  <si>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</si>
  <si>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</si>
  <si>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</si>
  <si>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</si>
  <si>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</si>
  <si>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</si>
  <si>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</si>
  <si>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</si>
  <si>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</si>
  <si>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</si>
  <si>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</si>
  <si>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</si>
  <si>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</si>
  <si>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</si>
  <si>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</si>
  <si>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</si>
  <si>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</si>
  <si>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</si>
  <si>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</si>
  <si>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</si>
  <si>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</si>
  <si>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</si>
  <si>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</si>
  <si>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</si>
  <si>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</si>
  <si>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</si>
  <si>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</si>
  <si>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</si>
  <si>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</si>
  <si>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</si>
  <si>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</si>
  <si>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</si>
  <si>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</si>
  <si>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</si>
  <si>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</si>
  <si>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</si>
  <si>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</si>
  <si>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</si>
  <si>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</si>
  <si>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</si>
  <si>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</si>
  <si>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</si>
  <si>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</si>
  <si>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</si>
  <si>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</si>
  <si>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</si>
  <si>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</si>
  <si>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</si>
  <si>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</si>
  <si>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</si>
  <si>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</si>
  <si>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</si>
  <si>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</si>
  <si>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</si>
  <si>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</si>
  <si>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</si>
  <si>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</si>
  <si>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</si>
  <si>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</si>
  <si>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</si>
  <si>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</si>
  <si>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</si>
  <si>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</si>
  <si>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</si>
  <si>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</si>
  <si>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</si>
  <si>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</si>
  <si>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</si>
  <si>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</si>
  <si>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</si>
  <si>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</si>
  <si>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</si>
  <si>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</si>
  <si>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</si>
  <si>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</si>
  <si>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</si>
  <si>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</si>
  <si>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</si>
  <si>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</si>
  <si>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</si>
  <si>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</si>
  <si>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</si>
  <si>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</si>
  <si>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</si>
  <si>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</si>
  <si>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</si>
  <si>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</si>
  <si>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</si>
  <si>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</si>
  <si>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</si>
  <si>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</si>
  <si>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</si>
  <si>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</si>
  <si>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</si>
  <si>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</si>
  <si>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</si>
  <si>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</si>
  <si>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</si>
  <si>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</si>
  <si>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</si>
  <si>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</si>
  <si>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</si>
  <si>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</si>
  <si>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</si>
  <si>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</si>
  <si>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</si>
  <si>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</si>
  <si>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</si>
  <si>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</si>
  <si>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</si>
  <si>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</si>
  <si>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</si>
  <si>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</si>
  <si>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</si>
  <si>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</si>
  <si>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</si>
  <si>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</si>
  <si>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</si>
  <si>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</si>
  <si>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</si>
  <si>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</si>
  <si>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</si>
  <si>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</si>
  <si>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</si>
  <si>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</si>
  <si>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</si>
  <si>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</si>
  <si>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</si>
  <si>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</si>
  <si>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</si>
  <si>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</si>
  <si>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</si>
  <si>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</si>
  <si>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</si>
  <si>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</si>
  <si>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</si>
  <si>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</si>
  <si>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</si>
  <si>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</si>
  <si>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</si>
  <si>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</si>
  <si>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</si>
  <si>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</si>
  <si>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</si>
  <si>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</si>
  <si>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</si>
  <si>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</si>
  <si>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</si>
  <si>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</si>
  <si>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</si>
  <si>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</si>
  <si>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</si>
  <si>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</si>
  <si>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</si>
  <si>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</si>
  <si>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</si>
  <si>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</si>
  <si>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</si>
  <si>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</si>
  <si>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</si>
  <si>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</si>
  <si>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</si>
  <si>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</si>
  <si>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</si>
  <si>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</si>
  <si>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</si>
  <si>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</si>
  <si>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</si>
  <si>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</si>
  <si>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</si>
  <si>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</si>
  <si>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</si>
  <si>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</si>
  <si>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</si>
  <si>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</si>
  <si>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</si>
  <si>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</si>
  <si>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</si>
  <si>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</si>
  <si>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</si>
  <si>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</si>
  <si>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</si>
  <si>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</si>
  <si>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</si>
  <si>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</si>
  <si>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</si>
  <si>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</si>
  <si>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</si>
  <si>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</si>
  <si>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</si>
  <si>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</si>
  <si>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</si>
  <si>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</si>
  <si>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</si>
  <si>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</si>
  <si>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</si>
  <si>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</si>
  <si>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</si>
  <si>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</si>
  <si>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</si>
  <si>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</si>
  <si>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</si>
  <si>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</si>
  <si>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</si>
  <si>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</si>
  <si>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</si>
  <si>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</si>
  <si>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</si>
  <si>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</si>
  <si>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</si>
  <si>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</si>
  <si>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</si>
  <si>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</si>
  <si>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</si>
  <si>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</si>
  <si>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</si>
  <si>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</si>
  <si>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</si>
  <si>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</si>
  <si>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</si>
  <si>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</si>
  <si>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</si>
  <si>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</si>
  <si>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</si>
  <si>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</si>
  <si>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</si>
  <si>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</si>
  <si>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</si>
  <si>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</si>
  <si>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</si>
  <si>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</si>
  <si>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</si>
  <si>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</si>
  <si>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</si>
  <si>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</si>
  <si>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</si>
  <si>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</si>
  <si>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</si>
  <si>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</si>
  <si>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</si>
  <si>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</si>
  <si>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</si>
  <si>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</si>
  <si>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</si>
  <si>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</si>
  <si>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</si>
  <si>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</si>
  <si>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</si>
  <si>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</si>
  <si>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</si>
  <si>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</si>
  <si>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</si>
  <si>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</si>
  <si>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</si>
  <si>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</si>
  <si>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</si>
  <si>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</si>
  <si>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</si>
  <si>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</si>
  <si>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</si>
  <si>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</si>
  <si>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</si>
  <si>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</si>
  <si>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</si>
  <si>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</si>
  <si>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</si>
  <si>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</si>
  <si>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</si>
  <si>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</si>
  <si>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</si>
  <si>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</si>
  <si>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</si>
  <si>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</si>
  <si>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</si>
  <si>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</si>
  <si>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</si>
  <si>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</si>
  <si>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</si>
  <si>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</si>
  <si>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</si>
  <si>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</si>
  <si>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</si>
  <si>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</si>
  <si>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</si>
  <si>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</si>
  <si>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</si>
  <si>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</si>
  <si>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</si>
  <si>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</si>
  <si>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</si>
  <si>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</si>
  <si>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</si>
  <si>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</si>
  <si>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</si>
  <si>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</si>
  <si>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</si>
  <si>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</si>
  <si>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</si>
  <si>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</si>
  <si>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</si>
  <si>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</si>
  <si>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</si>
  <si>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</si>
  <si>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</si>
  <si>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</si>
  <si>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</si>
  <si>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</si>
  <si>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</si>
  <si>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</si>
  <si>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</si>
  <si>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</si>
  <si>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</si>
  <si>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</si>
  <si>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</si>
  <si>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</si>
  <si>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</si>
  <si>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</si>
  <si>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</si>
  <si>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</si>
  <si>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</si>
  <si>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</si>
  <si>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</si>
  <si>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</si>
  <si>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</si>
  <si>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</si>
  <si>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</si>
  <si>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</si>
  <si>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</si>
  <si>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</si>
  <si>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</si>
  <si>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</si>
  <si>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</si>
  <si>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</si>
  <si>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</si>
  <si>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</si>
  <si>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</si>
  <si>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</si>
  <si>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</si>
  <si>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</si>
  <si>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</si>
  <si>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</si>
  <si>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</si>
  <si>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</si>
  <si>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</si>
  <si>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</si>
  <si>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</si>
  <si>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</si>
  <si>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</si>
  <si>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</si>
  <si>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</si>
  <si>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</si>
  <si>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</si>
  <si>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</si>
  <si>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</si>
  <si>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</si>
  <si>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</si>
  <si>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</si>
  <si>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</si>
  <si>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</si>
  <si>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</si>
  <si>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</si>
  <si>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</si>
  <si>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</si>
  <si>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</si>
  <si>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</si>
  <si>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</si>
  <si>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</si>
  <si>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</si>
  <si>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</si>
  <si>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</si>
  <si>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</si>
  <si>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</si>
  <si>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</si>
  <si>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</si>
  <si>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</si>
  <si>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</si>
  <si>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</si>
  <si>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</si>
  <si>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</si>
  <si>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</si>
  <si>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</si>
  <si>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</si>
  <si>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</si>
  <si>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</si>
  <si>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</si>
  <si>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</si>
  <si>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</si>
  <si>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</si>
  <si>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</si>
  <si>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</si>
  <si>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</si>
  <si>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</si>
  <si>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</si>
  <si>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</si>
  <si>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</si>
  <si>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</si>
  <si>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</si>
  <si>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</si>
  <si>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</si>
  <si>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</si>
  <si>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</si>
  <si>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</si>
  <si>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</si>
  <si>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</si>
  <si>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</si>
  <si>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</si>
  <si>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</si>
  <si>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</si>
  <si>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</si>
  <si>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</si>
  <si>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</si>
  <si>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</si>
  <si>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</si>
  <si>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</si>
  <si>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</si>
  <si>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</si>
  <si>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</si>
  <si>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</si>
  <si>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</si>
  <si>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</si>
  <si>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</si>
  <si>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</si>
  <si>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</si>
  <si>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</si>
  <si>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</si>
  <si>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</si>
  <si>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</si>
  <si>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</si>
  <si>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</si>
  <si>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</si>
  <si>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</si>
  <si>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</si>
  <si>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</si>
  <si>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</si>
  <si>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</si>
  <si>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</si>
  <si>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</si>
  <si>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</si>
  <si>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</si>
  <si>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</si>
  <si>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</si>
  <si>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</si>
  <si>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</si>
  <si>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</si>
  <si>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</si>
  <si>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</si>
  <si>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</si>
  <si>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</si>
  <si>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</si>
  <si>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</si>
  <si>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</si>
  <si>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</si>
  <si>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</si>
  <si>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</si>
  <si>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</si>
  <si>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</si>
  <si>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</si>
  <si>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</si>
  <si>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</si>
  <si>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</si>
  <si>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</si>
  <si>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</si>
  <si>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</si>
  <si>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</si>
  <si>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</si>
  <si>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</si>
  <si>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</si>
  <si>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</si>
  <si>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</si>
  <si>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</si>
  <si>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</si>
  <si>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</si>
  <si>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</si>
  <si>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</si>
  <si>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</si>
  <si>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</si>
  <si>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</si>
  <si>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</si>
  <si>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</si>
  <si>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</si>
  <si>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</si>
  <si>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</si>
  <si>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</si>
  <si>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</si>
  <si>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</si>
  <si>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</si>
  <si>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</si>
  <si>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</si>
  <si>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</si>
  <si>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</si>
  <si>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</si>
  <si>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</si>
  <si>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</si>
  <si>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</si>
  <si>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</si>
  <si>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</si>
  <si>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</si>
  <si>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</si>
  <si>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</si>
  <si>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</si>
  <si>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</si>
  <si>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</si>
  <si>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</si>
  <si>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</si>
  <si>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</si>
  <si>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</si>
  <si>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</si>
  <si>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</si>
  <si>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</si>
  <si>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</si>
  <si>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</si>
  <si>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</si>
  <si>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</si>
  <si>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</si>
  <si>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</si>
  <si>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</si>
  <si>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</si>
  <si>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</si>
  <si>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</si>
  <si>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</si>
  <si>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</si>
  <si>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</si>
  <si>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</si>
  <si>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</si>
  <si>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</si>
  <si>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</si>
  <si>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</si>
  <si>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</si>
  <si>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</si>
  <si>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</si>
  <si>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</si>
  <si>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</si>
  <si>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</si>
  <si>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</si>
  <si>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</si>
  <si>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</si>
  <si>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</si>
  <si>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</si>
  <si>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</si>
  <si>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</si>
  <si>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</si>
  <si>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</si>
  <si>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</si>
  <si>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</si>
  <si>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</si>
  <si>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</si>
  <si>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</si>
  <si>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</si>
  <si>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</si>
  <si>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</si>
  <si>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</si>
  <si>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</si>
  <si>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</si>
  <si>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</si>
  <si>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</si>
  <si>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</si>
  <si>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</si>
  <si>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</si>
  <si>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</si>
  <si>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</si>
  <si>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</si>
  <si>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</si>
  <si>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</si>
  <si>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</si>
  <si>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</si>
  <si>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</si>
  <si>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</si>
  <si>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</si>
  <si>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</si>
  <si>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</si>
  <si>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</si>
  <si>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</si>
  <si>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</si>
  <si>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</si>
  <si>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</si>
  <si>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</si>
  <si>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</si>
  <si>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</si>
  <si>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</si>
  <si>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</si>
  <si>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</si>
  <si>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</si>
  <si>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</si>
  <si>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</si>
  <si>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</si>
  <si>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</si>
  <si>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</si>
  <si>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</si>
  <si>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</si>
  <si>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</si>
  <si>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</si>
  <si>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</si>
  <si>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</si>
  <si>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</si>
  <si>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</si>
  <si>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</si>
  <si>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</si>
  <si>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</si>
  <si>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</si>
  <si>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</si>
  <si>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</si>
  <si>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</si>
  <si>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</si>
  <si>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</si>
  <si>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</si>
  <si>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</si>
  <si>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</si>
  <si>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</si>
  <si>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</si>
  <si>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</si>
  <si>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</si>
  <si>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</si>
  <si>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</si>
  <si>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</si>
  <si>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</si>
  <si>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</si>
  <si>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</si>
  <si>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</si>
  <si>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</si>
  <si>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</si>
  <si>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</si>
  <si>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</si>
  <si>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</si>
  <si>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</si>
  <si>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</si>
  <si>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</si>
  <si>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</si>
  <si>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</si>
  <si>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</si>
  <si>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</si>
  <si>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</si>
  <si>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</si>
  <si>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</si>
  <si>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</si>
  <si>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</si>
  <si>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</si>
  <si>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</si>
  <si>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</si>
  <si>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</si>
  <si>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</si>
  <si>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</si>
  <si>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</si>
  <si>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</si>
  <si>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</si>
  <si>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</si>
  <si>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</si>
  <si>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</si>
  <si>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</si>
  <si>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</si>
  <si>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</si>
  <si>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</si>
  <si>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</si>
  <si>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</si>
  <si>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</si>
  <si>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</si>
  <si>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</si>
  <si>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</si>
  <si>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</si>
  <si>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</si>
  <si>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</si>
  <si>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</si>
  <si>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</si>
  <si>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</si>
  <si>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</si>
  <si>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</si>
  <si>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</si>
  <si>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</si>
  <si>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</si>
  <si>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</si>
  <si>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</si>
  <si>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</si>
  <si>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</si>
  <si>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</si>
  <si>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</si>
  <si>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</si>
  <si>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</si>
  <si>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</si>
  <si>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</si>
  <si>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</si>
  <si>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</si>
  <si>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</si>
  <si>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</si>
  <si>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</si>
  <si>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</si>
  <si>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</si>
  <si>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</si>
  <si>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</si>
  <si>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</si>
  <si>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</si>
  <si>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</si>
  <si>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</si>
  <si>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</si>
  <si>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</si>
  <si>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</si>
  <si>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</si>
  <si>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</si>
  <si>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</si>
  <si>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</si>
  <si>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</si>
  <si>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</si>
  <si>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</si>
  <si>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</si>
  <si>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</si>
  <si>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</si>
  <si>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</si>
  <si>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</si>
  <si>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</si>
  <si>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</si>
  <si>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</si>
  <si>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</si>
  <si>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</si>
  <si>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</si>
  <si>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</si>
  <si>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</si>
  <si>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</si>
  <si>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</si>
  <si>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</si>
  <si>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</si>
  <si>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</si>
  <si>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</si>
  <si>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</si>
  <si>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</si>
  <si>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</si>
  <si>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</si>
  <si>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</si>
  <si>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</si>
  <si>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</si>
  <si>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</si>
  <si>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</si>
  <si>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</si>
  <si>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</si>
  <si>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</si>
  <si>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</si>
  <si>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</si>
  <si>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</si>
  <si>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</si>
  <si>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</si>
  <si>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</si>
  <si>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</si>
  <si>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</si>
  <si>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</si>
  <si>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</si>
  <si>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</si>
  <si>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</si>
  <si>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</si>
  <si>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</si>
  <si>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</si>
  <si>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</si>
  <si>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</si>
  <si>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</si>
  <si>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</si>
  <si>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</si>
  <si>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</si>
  <si>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</si>
  <si>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</si>
  <si>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</si>
  <si>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</si>
  <si>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</si>
  <si>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</si>
  <si>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</si>
  <si>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</si>
  <si>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</si>
  <si>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</si>
  <si>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</si>
  <si>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</si>
  <si>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</si>
  <si>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</si>
  <si>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</si>
  <si>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</si>
  <si>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</si>
  <si>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</si>
  <si>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</si>
  <si>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</si>
  <si>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</si>
  <si>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</si>
  <si>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</si>
  <si>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</si>
  <si>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</si>
  <si>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</si>
  <si>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</si>
  <si>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</si>
  <si>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</si>
  <si>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</si>
  <si>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</si>
  <si>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</si>
  <si>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</si>
  <si>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</si>
  <si>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</si>
  <si>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</si>
  <si>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</si>
  <si>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</si>
  <si>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</si>
  <si>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</si>
  <si>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</si>
  <si>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</si>
  <si>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</si>
  <si>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</si>
  <si>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</si>
  <si>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</si>
  <si>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</si>
  <si>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</si>
  <si>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</si>
  <si>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</si>
  <si>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</si>
  <si>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</si>
  <si>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</si>
  <si>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</si>
  <si>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</si>
  <si>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</si>
  <si>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</si>
  <si>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</si>
  <si>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</si>
  <si>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</si>
  <si>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</si>
  <si>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</si>
  <si>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</si>
  <si>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</si>
  <si>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</si>
  <si>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</si>
  <si>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</si>
  <si>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</si>
  <si>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</si>
  <si>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</si>
  <si>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</si>
  <si>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</si>
  <si>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</si>
  <si>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</si>
  <si>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</si>
  <si>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</si>
  <si>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</si>
  <si>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</si>
  <si>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</si>
  <si>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</si>
  <si>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</si>
  <si>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</si>
  <si>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</si>
  <si>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</si>
  <si>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</si>
  <si>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</si>
  <si>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</si>
  <si>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</si>
  <si>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</si>
  <si>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</si>
  <si>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</si>
  <si>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</si>
  <si>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</si>
  <si>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</si>
  <si>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</si>
  <si>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</si>
  <si>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</si>
  <si>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</si>
  <si>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</si>
  <si>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</si>
  <si>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</si>
  <si>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</si>
  <si>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</si>
  <si>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</si>
  <si>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</si>
  <si>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</si>
  <si>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</si>
  <si>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</si>
  <si>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</si>
  <si>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</si>
  <si>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</si>
  <si>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</si>
  <si>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</si>
  <si>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</si>
  <si>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</si>
  <si>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</si>
  <si>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</si>
  <si>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</si>
  <si>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</si>
  <si>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</si>
  <si>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</si>
  <si>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</si>
  <si>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</si>
  <si>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</si>
  <si>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</si>
  <si>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</si>
  <si>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</si>
  <si>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</si>
  <si>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</si>
  <si>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</si>
  <si>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</si>
  <si>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</si>
  <si>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</si>
  <si>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</si>
  <si>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</si>
  <si>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</si>
  <si>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</si>
  <si>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</si>
  <si>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</si>
  <si>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</si>
  <si>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</si>
  <si>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</si>
  <si>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</si>
  <si>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</si>
  <si>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</si>
  <si>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</si>
  <si>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</si>
  <si>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</si>
  <si>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</si>
  <si>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</si>
  <si>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</si>
  <si>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</si>
  <si>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</si>
  <si>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</si>
  <si>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</si>
  <si>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</si>
  <si>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</si>
  <si>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</si>
  <si>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</si>
  <si>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</si>
  <si>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</si>
  <si>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</si>
  <si>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</si>
  <si>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</si>
  <si>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</si>
  <si>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</si>
  <si>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</si>
  <si>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</si>
  <si>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</si>
  <si>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</si>
  <si>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</si>
  <si>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</si>
  <si>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</si>
  <si>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</si>
  <si>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</si>
  <si>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</si>
  <si>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</si>
  <si>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</si>
  <si>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</si>
  <si>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</si>
  <si>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</si>
  <si>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</si>
  <si>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</si>
  <si>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</si>
  <si>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</si>
  <si>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</si>
  <si>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</si>
  <si>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</si>
  <si>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</si>
  <si>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</si>
  <si>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</si>
  <si>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</si>
  <si>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</si>
  <si>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</si>
  <si>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</si>
  <si>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</si>
  <si>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</si>
  <si>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</si>
  <si>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</si>
  <si>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</si>
  <si>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</si>
  <si>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</si>
  <si>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</si>
  <si>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</si>
  <si>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</si>
  <si>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</si>
  <si>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</si>
  <si>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</si>
  <si>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</si>
  <si>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</si>
  <si>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</si>
  <si>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</si>
  <si>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</si>
  <si>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</si>
  <si>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</si>
  <si>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</si>
  <si>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</si>
  <si>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</si>
  <si>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</si>
  <si>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</si>
  <si>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</si>
  <si>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</si>
  <si>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</si>
  <si>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</si>
  <si>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</si>
  <si>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</si>
  <si>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</si>
  <si>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</si>
  <si>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</si>
  <si>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</si>
  <si>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</si>
  <si>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</si>
  <si>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</si>
  <si>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</si>
  <si>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</si>
  <si>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</si>
  <si>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</si>
  <si>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</si>
  <si>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</si>
  <si>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</si>
  <si>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</si>
  <si>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</si>
  <si>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</si>
  <si>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</si>
  <si>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</si>
  <si>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</si>
  <si>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</si>
  <si>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</si>
  <si>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</si>
  <si>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</si>
  <si>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</si>
  <si>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</si>
  <si>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</si>
  <si>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</si>
  <si>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</si>
  <si>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</si>
  <si>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</si>
  <si>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</si>
  <si>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</si>
  <si>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</si>
  <si>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</si>
  <si>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</si>
  <si>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</si>
  <si>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</si>
  <si>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</si>
  <si>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</si>
  <si>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</si>
  <si>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</si>
  <si>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</si>
  <si>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</si>
  <si>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</si>
  <si>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</si>
  <si>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</si>
  <si>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</si>
  <si>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</si>
  <si>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</si>
  <si>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</si>
  <si>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</si>
  <si>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</si>
  <si>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</si>
  <si>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</si>
  <si>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</si>
  <si>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</si>
  <si>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</si>
  <si>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</si>
  <si>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</si>
  <si>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</si>
  <si>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</si>
  <si>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</si>
  <si>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</si>
  <si>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</si>
  <si>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</si>
  <si>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</si>
  <si>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</si>
  <si>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</si>
  <si>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</si>
  <si>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</si>
  <si>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</si>
  <si>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</si>
  <si>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</si>
  <si>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</si>
  <si>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</si>
  <si>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</si>
  <si>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</si>
  <si>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</si>
  <si>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</si>
  <si>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</si>
  <si>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</si>
  <si>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</si>
  <si>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</si>
  <si>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</si>
  <si>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</si>
  <si>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</si>
  <si>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</si>
  <si>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</si>
  <si>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</si>
  <si>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</si>
  <si>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</si>
  <si>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</si>
  <si>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</si>
  <si>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</si>
  <si>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</si>
  <si>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</si>
  <si>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</si>
  <si>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</si>
  <si>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</si>
  <si>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</si>
  <si>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</si>
  <si>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</si>
  <si>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</si>
  <si>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</si>
  <si>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</si>
  <si>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</si>
  <si>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</si>
  <si>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</si>
  <si>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</si>
  <si>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</si>
  <si>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</si>
  <si>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</si>
  <si>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</si>
  <si>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</si>
  <si>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</si>
  <si>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</si>
  <si>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</si>
  <si>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</si>
  <si>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</si>
  <si>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</si>
  <si>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</si>
  <si>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</si>
  <si>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</si>
  <si>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</si>
  <si>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</si>
  <si>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</si>
  <si>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</si>
  <si>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</si>
  <si>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</si>
  <si>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</si>
  <si>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</si>
  <si>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</si>
  <si>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</si>
  <si>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</si>
  <si>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</si>
  <si>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</si>
  <si>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</si>
  <si>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</si>
  <si>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</si>
  <si>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</si>
  <si>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</si>
  <si>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</si>
  <si>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</si>
  <si>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</si>
  <si>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</si>
  <si>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</si>
  <si>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</si>
  <si>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</si>
  <si>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</si>
  <si>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</si>
  <si>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</si>
  <si>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</si>
  <si>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</si>
  <si>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</si>
  <si>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</si>
  <si>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</si>
  <si>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</si>
  <si>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</si>
  <si>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</si>
  <si>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</si>
  <si>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</si>
  <si>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</si>
  <si>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</si>
  <si>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</si>
  <si>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</si>
  <si>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</si>
  <si>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</si>
  <si>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</si>
  <si>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</si>
  <si>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</si>
  <si>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</si>
  <si>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</si>
  <si>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</si>
  <si>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</si>
  <si>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</si>
  <si>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</si>
  <si>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</si>
  <si>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</si>
  <si>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</si>
  <si>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</si>
  <si>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</si>
  <si>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</si>
  <si>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</si>
  <si>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</si>
  <si>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</si>
  <si>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</si>
  <si>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</si>
  <si>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</si>
  <si>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</si>
  <si>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</si>
  <si>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</si>
  <si>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</si>
  <si>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</si>
  <si>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</si>
  <si>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</si>
  <si>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</si>
  <si>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</si>
  <si>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</si>
  <si>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</si>
  <si>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</si>
  <si>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</si>
  <si>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</si>
  <si>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</si>
  <si>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</si>
  <si>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</si>
  <si>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</si>
  <si>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</si>
  <si>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</si>
  <si>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</si>
  <si>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</si>
  <si>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</si>
  <si>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</si>
  <si>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</si>
  <si>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</si>
  <si>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</si>
  <si>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</si>
  <si>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</si>
  <si>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</si>
  <si>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</si>
  <si>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</si>
  <si>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</si>
  <si>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</si>
  <si>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</si>
  <si>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</si>
  <si>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</si>
  <si>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</si>
  <si>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</si>
  <si>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</si>
  <si>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</si>
  <si>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</si>
  <si>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</si>
  <si>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</si>
  <si>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</si>
  <si>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</si>
  <si>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</si>
  <si>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</si>
  <si>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</si>
  <si>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</si>
  <si>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</si>
  <si>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</si>
  <si>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</si>
  <si>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</si>
  <si>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</si>
  <si>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</si>
  <si>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</si>
  <si>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</si>
  <si>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</si>
  <si>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</si>
  <si>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</si>
  <si>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</si>
  <si>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</si>
  <si>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</si>
  <si>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</si>
  <si>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</si>
  <si>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</si>
  <si>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</si>
  <si>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</si>
  <si>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</si>
  <si>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</si>
  <si>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</si>
  <si>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</si>
  <si>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</si>
  <si>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</si>
  <si>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</si>
  <si>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</si>
  <si>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</si>
  <si>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</si>
  <si>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</si>
  <si>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</si>
  <si>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</si>
  <si>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</si>
  <si>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</si>
  <si>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</si>
  <si>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</si>
  <si>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</si>
  <si>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</si>
  <si>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</si>
  <si>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</si>
  <si>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</si>
  <si>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</si>
  <si>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</si>
  <si>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</si>
  <si>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</si>
  <si>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</si>
  <si>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</si>
  <si>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</si>
  <si>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</si>
  <si>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</si>
  <si>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</si>
  <si>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</si>
  <si>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</si>
  <si>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</si>
  <si>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</si>
  <si>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</si>
  <si>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</si>
  <si>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</si>
  <si>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</si>
  <si>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</si>
  <si>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</si>
  <si>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</si>
  <si>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</si>
  <si>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</si>
  <si>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</si>
  <si>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</si>
  <si>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</si>
  <si>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</si>
  <si>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</si>
  <si>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</si>
  <si>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</si>
  <si>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</si>
  <si>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</si>
  <si>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</si>
  <si>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</si>
  <si>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</si>
  <si>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</si>
  <si>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</si>
  <si>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</si>
  <si>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</si>
  <si>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</si>
  <si>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</si>
  <si>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</si>
  <si>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</si>
  <si>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</si>
  <si>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</si>
  <si>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</si>
  <si>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</si>
  <si>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</si>
  <si>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</si>
  <si>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</si>
  <si>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</si>
  <si>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</si>
  <si>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</si>
  <si>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</si>
  <si>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</si>
  <si>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</si>
  <si>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</si>
  <si>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</si>
  <si>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</si>
  <si>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</si>
  <si>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</si>
  <si>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</si>
  <si>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</si>
  <si>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</si>
  <si>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</si>
  <si>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</si>
  <si>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</si>
  <si>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</si>
  <si>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</si>
  <si>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</si>
  <si>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</si>
  <si>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</si>
  <si>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</si>
  <si>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</si>
  <si>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</si>
  <si>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</si>
  <si>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</si>
  <si>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</si>
  <si>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</si>
  <si>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</si>
  <si>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</si>
  <si>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</si>
  <si>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</si>
  <si>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</si>
  <si>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</si>
  <si>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</si>
  <si>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</si>
  <si>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</si>
  <si>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</si>
  <si>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</si>
  <si>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</si>
  <si>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</si>
  <si>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</si>
  <si>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</si>
  <si>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</si>
  <si>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</si>
  <si>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</si>
  <si>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</si>
  <si>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</si>
  <si>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</si>
  <si>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</si>
  <si>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</si>
  <si>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</si>
  <si>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</si>
  <si>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</si>
  <si>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</si>
  <si>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</si>
  <si>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</si>
  <si>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</si>
  <si>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</si>
  <si>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</si>
  <si>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</si>
  <si>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</si>
  <si>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</si>
  <si>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</si>
  <si>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</si>
  <si>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</si>
  <si>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</si>
  <si>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</si>
  <si>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</si>
  <si>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</si>
  <si>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</si>
  <si>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</si>
  <si>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</si>
  <si>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</si>
  <si>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</si>
  <si>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</si>
  <si>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</si>
  <si>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</si>
  <si>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</si>
  <si>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</si>
  <si>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</si>
  <si>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</si>
  <si>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</si>
  <si>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</si>
  <si>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</si>
  <si>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</si>
  <si>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</si>
  <si>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</si>
  <si>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</si>
  <si>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</si>
  <si>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</si>
  <si>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</si>
  <si>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</si>
  <si>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</si>
  <si>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</si>
  <si>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</si>
  <si>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</si>
  <si>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</si>
  <si>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</si>
  <si>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</si>
  <si>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</si>
  <si>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</si>
  <si>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</si>
  <si>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</si>
  <si>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</si>
  <si>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</si>
  <si>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</si>
  <si>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</si>
  <si>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</si>
  <si>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</si>
  <si>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</si>
  <si>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</si>
  <si>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</si>
  <si>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</si>
  <si>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</si>
  <si>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</si>
  <si>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</si>
  <si>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</si>
  <si>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</si>
  <si>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</si>
  <si>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</si>
  <si>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</si>
  <si>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</si>
  <si>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</si>
  <si>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</si>
  <si>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</si>
  <si>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</si>
  <si>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</si>
  <si>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</si>
  <si>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</si>
  <si>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</si>
  <si>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</si>
  <si>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</si>
  <si>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</si>
  <si>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</si>
  <si>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</si>
  <si>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</si>
  <si>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</si>
  <si>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</si>
  <si>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</si>
  <si>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</si>
  <si>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</si>
  <si>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</si>
  <si>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</si>
  <si>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</si>
  <si>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</si>
  <si>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</si>
  <si>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</si>
  <si>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</si>
  <si>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</si>
  <si>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</si>
  <si>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</si>
  <si>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</si>
  <si>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</si>
  <si>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</si>
  <si>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</si>
  <si>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</si>
  <si>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</si>
  <si>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</si>
  <si>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</si>
  <si>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</si>
  <si>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</si>
  <si>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</si>
  <si>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</si>
  <si>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</si>
  <si>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</si>
  <si>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</si>
  <si>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</si>
  <si>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</si>
  <si>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</si>
  <si>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</si>
  <si>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</si>
  <si>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</si>
  <si>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</si>
  <si>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</si>
  <si>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</si>
  <si>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</si>
  <si>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</si>
  <si>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</si>
  <si>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</si>
  <si>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</si>
  <si>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</si>
  <si>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</si>
  <si>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</si>
  <si>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</si>
  <si>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</si>
  <si>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</si>
  <si>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</si>
  <si>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</si>
  <si>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</si>
  <si>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</si>
  <si>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</si>
  <si>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</si>
  <si>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</si>
  <si>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</si>
  <si>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</si>
  <si>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</si>
  <si>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</si>
  <si>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</si>
  <si>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</si>
  <si>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</si>
  <si>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</si>
  <si>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</si>
  <si>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</si>
  <si>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</si>
  <si>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</si>
  <si>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</si>
  <si>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</si>
  <si>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</si>
  <si>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</si>
  <si>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</si>
  <si>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</si>
  <si>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</si>
  <si>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</si>
  <si>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</si>
  <si>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</si>
  <si>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</si>
  <si>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</si>
  <si>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</si>
  <si>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</si>
  <si>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</si>
  <si>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</si>
  <si>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</si>
  <si>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</si>
  <si>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</si>
  <si>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</si>
  <si>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</si>
  <si>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</si>
  <si>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</si>
  <si>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</si>
  <si>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</si>
  <si>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</si>
  <si>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</si>
  <si>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</si>
  <si>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</si>
  <si>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</si>
  <si>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</si>
  <si>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</si>
  <si>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</si>
  <si>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</si>
  <si>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</si>
  <si>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</si>
  <si>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</si>
  <si>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</si>
  <si>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</si>
  <si>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</si>
  <si>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</si>
  <si>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</si>
  <si>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</si>
  <si>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</si>
  <si>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</si>
  <si>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</si>
  <si>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</si>
  <si>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</si>
  <si>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</si>
  <si>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</si>
  <si>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</si>
  <si>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</si>
  <si>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</si>
  <si>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</si>
  <si>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</si>
  <si>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</si>
  <si>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</si>
  <si>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</si>
  <si>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</si>
  <si>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</si>
  <si>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</si>
  <si>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</si>
  <si>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</si>
  <si>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</si>
  <si>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</si>
  <si>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</si>
  <si>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</si>
  <si>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</si>
  <si>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</si>
  <si>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</si>
  <si>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</si>
  <si>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</si>
  <si>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</si>
  <si>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</si>
  <si>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</si>
  <si>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</si>
  <si>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</si>
  <si>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</si>
  <si>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</si>
  <si>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</si>
  <si>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</si>
  <si>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</si>
  <si>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</si>
  <si>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</si>
  <si>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</si>
  <si>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</si>
  <si>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</si>
  <si>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</si>
  <si>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</si>
  <si>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</si>
  <si>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</si>
  <si>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</si>
  <si>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</si>
  <si>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</si>
  <si>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</si>
  <si>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</si>
  <si>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</si>
  <si>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</si>
  <si>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</si>
  <si>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</si>
  <si>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</si>
  <si>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</si>
  <si>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</si>
  <si>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</si>
  <si>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</si>
  <si>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</si>
  <si>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</si>
  <si>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</si>
  <si>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</si>
  <si>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</si>
  <si>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</si>
  <si>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</si>
  <si>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</si>
  <si>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</si>
  <si>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</si>
  <si>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</si>
  <si>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</si>
  <si>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</si>
  <si>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</si>
  <si>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</si>
  <si>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</si>
  <si>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</si>
  <si>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</si>
  <si>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</si>
  <si>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</si>
  <si>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</si>
  <si>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</si>
  <si>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</si>
  <si>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</si>
  <si>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</si>
  <si>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</si>
  <si>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</si>
  <si>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</si>
  <si>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</si>
  <si>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</si>
  <si>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</si>
  <si>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</si>
  <si>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</si>
  <si>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</si>
  <si>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</si>
  <si>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</si>
  <si>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</si>
  <si>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</si>
  <si>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</si>
  <si>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</si>
  <si>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</si>
  <si>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</si>
  <si>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</si>
  <si>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</si>
  <si>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</si>
  <si>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</si>
  <si>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</si>
  <si>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</si>
  <si>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</si>
  <si>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</si>
  <si>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</si>
  <si>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</si>
  <si>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</si>
  <si>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</si>
  <si>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</si>
  <si>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</si>
  <si>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</si>
  <si>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</si>
  <si>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</si>
  <si>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</si>
  <si>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</si>
  <si>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</si>
  <si>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</si>
  <si>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</si>
  <si>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</si>
  <si>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</si>
  <si>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</si>
  <si>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</si>
  <si>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</si>
  <si>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</si>
  <si>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</si>
  <si>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</si>
  <si>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</si>
  <si>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</si>
  <si>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</si>
  <si>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</si>
  <si>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</si>
  <si>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</si>
  <si>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</si>
  <si>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</si>
  <si>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</si>
  <si>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</si>
  <si>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</si>
  <si>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</si>
  <si>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</si>
  <si>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</si>
  <si>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</si>
  <si>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</si>
  <si>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</si>
  <si>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</si>
  <si>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</si>
  <si>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</si>
  <si>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</si>
  <si>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</si>
  <si>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</si>
  <si>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</si>
  <si>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</si>
  <si>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</si>
  <si>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</si>
  <si>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</si>
  <si>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</si>
  <si>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</si>
  <si>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</si>
  <si>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</si>
  <si>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</si>
  <si>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</si>
  <si>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</si>
  <si>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</si>
  <si>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</si>
  <si>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</si>
  <si>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</si>
  <si>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</si>
  <si>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</si>
  <si>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</si>
  <si>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</si>
  <si>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</si>
  <si>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</si>
  <si>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</si>
  <si>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</si>
  <si>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</si>
  <si>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</si>
  <si>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</si>
  <si>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</si>
  <si>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</si>
  <si>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</si>
  <si>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</si>
  <si>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</si>
  <si>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</si>
  <si>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</si>
  <si>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</si>
  <si>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</si>
  <si>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</si>
  <si>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</si>
  <si>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</si>
  <si>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</si>
  <si>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</si>
  <si>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</si>
  <si>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</si>
  <si>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</si>
  <si>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</si>
  <si>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</si>
  <si>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</si>
  <si>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</si>
  <si>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</si>
  <si>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</si>
  <si>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</si>
  <si>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</si>
  <si>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</si>
  <si>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</si>
  <si>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</si>
  <si>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</si>
  <si>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</si>
  <si>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</si>
  <si>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</si>
  <si>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</si>
  <si>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</si>
  <si>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</si>
  <si>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</si>
  <si>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</si>
  <si>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</si>
  <si>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</si>
  <si>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</si>
  <si>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</si>
  <si>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</si>
  <si>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</si>
  <si>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</si>
  <si>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</si>
  <si>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</si>
  <si>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</si>
  <si>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</si>
  <si>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</si>
  <si>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</si>
  <si>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</si>
  <si>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</si>
  <si>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</si>
  <si>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</si>
  <si>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</si>
  <si>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</si>
  <si>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</si>
  <si>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</si>
  <si>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</si>
  <si>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</si>
  <si>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</si>
  <si>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</si>
  <si>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</si>
  <si>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</si>
  <si>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</si>
  <si>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</si>
  <si>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</si>
  <si>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</si>
  <si>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</si>
  <si>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</si>
  <si>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</si>
  <si>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</si>
  <si>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</si>
  <si>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</si>
  <si>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</si>
  <si>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</si>
  <si>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</si>
  <si>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</si>
  <si>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</si>
  <si>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</si>
  <si>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</si>
  <si>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</si>
  <si>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</si>
  <si>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</si>
  <si>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</si>
  <si>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</si>
  <si>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</si>
  <si>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</si>
  <si>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</si>
  <si>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</si>
  <si>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</si>
  <si>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</si>
  <si>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</si>
  <si>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</si>
  <si>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</si>
  <si>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</si>
  <si>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</si>
  <si>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</si>
  <si>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</si>
  <si>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</si>
  <si>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</si>
  <si>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</si>
  <si>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</si>
  <si>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</si>
  <si>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</si>
  <si>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</si>
  <si>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</si>
  <si>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</si>
  <si>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</si>
  <si>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</si>
  <si>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</si>
  <si>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</si>
  <si>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</si>
  <si>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</si>
  <si>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</si>
  <si>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</si>
  <si>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</si>
  <si>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</si>
  <si>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</si>
  <si>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</si>
  <si>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</si>
  <si>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</si>
  <si>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</si>
  <si>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</si>
  <si>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</si>
  <si>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</si>
  <si>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</si>
  <si>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</si>
  <si>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</si>
  <si>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</si>
  <si>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</si>
  <si>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</si>
  <si>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</si>
  <si>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</si>
  <si>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</si>
  <si>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</si>
  <si>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</si>
  <si>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</si>
  <si>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</si>
  <si>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</si>
  <si>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</si>
  <si>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</si>
  <si>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</si>
  <si>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</si>
  <si>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</si>
  <si>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</si>
  <si>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</si>
  <si>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</si>
  <si>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</si>
  <si>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</si>
  <si>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</si>
  <si>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</si>
  <si>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</si>
  <si>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</si>
  <si>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</si>
  <si>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</si>
  <si>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</si>
  <si>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</si>
  <si>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</si>
  <si>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</si>
  <si>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</si>
  <si>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</si>
  <si>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</si>
  <si>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</si>
  <si>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</si>
  <si>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</si>
  <si>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</si>
  <si>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</si>
  <si>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</si>
  <si>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</si>
  <si>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</si>
  <si>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</si>
  <si>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</si>
  <si>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</si>
  <si>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</si>
  <si>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</si>
  <si>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</si>
  <si>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</si>
  <si>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</si>
  <si>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</si>
  <si>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</si>
  <si>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</si>
  <si>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</si>
  <si>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</si>
  <si>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</si>
  <si>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</si>
  <si>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</si>
  <si>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</si>
  <si>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</si>
  <si>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</si>
  <si>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</si>
  <si>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</si>
  <si>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</si>
  <si>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</si>
  <si>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</si>
  <si>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</si>
  <si>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</si>
  <si>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</si>
  <si>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</si>
  <si>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</si>
  <si>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</si>
  <si>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</si>
  <si>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</si>
  <si>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</si>
  <si>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</si>
  <si>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</si>
  <si>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</si>
  <si>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</si>
  <si>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</si>
  <si>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</si>
  <si>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</si>
  <si>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</si>
  <si>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</si>
  <si>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</si>
  <si>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</si>
  <si>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</si>
  <si>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</si>
  <si>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</si>
  <si>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</si>
  <si>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</si>
  <si>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</si>
  <si>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</si>
  <si>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</si>
  <si>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</si>
  <si>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</si>
  <si>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</si>
  <si>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</si>
  <si>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</si>
  <si>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</si>
  <si>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</si>
  <si>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</si>
  <si>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</si>
  <si>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</si>
  <si>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</si>
  <si>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</si>
  <si>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</si>
  <si>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</si>
  <si>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</si>
  <si>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</si>
  <si>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</si>
  <si>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</si>
  <si>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</si>
  <si>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</si>
  <si>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</si>
  <si>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</si>
  <si>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</si>
  <si>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</si>
  <si>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</si>
  <si>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</si>
  <si>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</si>
  <si>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</si>
  <si>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</si>
  <si>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</si>
  <si>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</si>
  <si>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</si>
  <si>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</si>
  <si>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</si>
  <si>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</si>
  <si>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</si>
  <si>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</si>
  <si>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</si>
  <si>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</si>
  <si>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</si>
  <si>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</si>
  <si>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</si>
  <si>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</si>
  <si>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</si>
  <si>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</si>
  <si>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</si>
  <si>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</si>
  <si>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</si>
  <si>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</si>
  <si>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</si>
  <si>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</si>
  <si>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</si>
  <si>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</si>
  <si>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</si>
  <si>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</si>
  <si>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</si>
  <si>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</si>
  <si>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</si>
  <si>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</si>
  <si>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</si>
  <si>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</si>
  <si>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</si>
  <si>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</si>
  <si>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</si>
  <si>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</si>
  <si>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</si>
  <si>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</si>
  <si>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</si>
  <si>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</si>
  <si>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</si>
  <si>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</si>
  <si>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</si>
  <si>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</si>
  <si>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</si>
  <si>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</si>
  <si>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</si>
  <si>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</si>
  <si>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</si>
  <si>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</si>
  <si>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</si>
  <si>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</si>
  <si>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</si>
  <si>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</si>
  <si>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</si>
  <si>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</si>
  <si>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</si>
  <si>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</si>
  <si>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</si>
  <si>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</si>
  <si>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</si>
  <si>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</si>
  <si>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</si>
  <si>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</si>
  <si>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</si>
  <si>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</si>
  <si>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</si>
  <si>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</si>
  <si>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</si>
  <si>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</si>
  <si>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</si>
  <si>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</si>
  <si>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</si>
  <si>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</si>
  <si>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</si>
  <si>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</si>
  <si>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</si>
  <si>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</si>
  <si>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</si>
  <si>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</si>
  <si>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</si>
  <si>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</si>
  <si>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</si>
  <si>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</si>
  <si>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</si>
  <si>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</si>
  <si>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</si>
  <si>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</si>
  <si>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</si>
  <si>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</si>
  <si>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</si>
  <si>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</si>
  <si>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</si>
  <si>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</si>
  <si>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</si>
  <si>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</si>
  <si>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</si>
  <si>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</si>
  <si>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</si>
  <si>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</si>
  <si>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</si>
  <si>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</si>
  <si>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</si>
  <si>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</si>
  <si>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</si>
  <si>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</si>
  <si>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</si>
  <si>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</si>
  <si>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</si>
  <si>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</si>
  <si>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</si>
  <si>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</si>
  <si>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</si>
  <si>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</si>
  <si>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</si>
  <si>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</si>
  <si>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</si>
  <si>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</si>
  <si>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</si>
  <si>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</si>
  <si>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</si>
  <si>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</si>
  <si>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</si>
  <si>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</si>
  <si>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</si>
  <si>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</si>
  <si>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</si>
  <si>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</si>
  <si>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</si>
  <si>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</si>
  <si>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</si>
  <si>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</si>
  <si>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</si>
  <si>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</si>
  <si>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</si>
  <si>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</si>
  <si>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</si>
  <si>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</si>
  <si>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</si>
  <si>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</si>
  <si>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</si>
  <si>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</si>
  <si>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</si>
  <si>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</si>
  <si>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</si>
  <si>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</si>
  <si>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</si>
  <si>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</si>
  <si>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</si>
  <si>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</si>
  <si>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</si>
  <si>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</si>
  <si>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</si>
  <si>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</si>
  <si>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</si>
  <si>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</si>
  <si>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</si>
  <si>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</si>
  <si>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</si>
  <si>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</si>
  <si>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</si>
  <si>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</si>
  <si>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</si>
  <si>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</si>
  <si>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</si>
  <si>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</si>
  <si>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</si>
  <si>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</si>
  <si>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</si>
  <si>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</si>
  <si>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</si>
  <si>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</si>
  <si>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</si>
  <si>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</si>
  <si>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</si>
  <si>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</si>
  <si>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</si>
  <si>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</si>
  <si>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</si>
  <si>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</si>
  <si>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</si>
  <si>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</si>
  <si>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</si>
  <si>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</si>
  <si>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</si>
  <si>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</si>
  <si>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</si>
  <si>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</si>
  <si>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</si>
  <si>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</si>
  <si>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</si>
  <si>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</si>
  <si>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</si>
  <si>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</si>
  <si>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</si>
  <si>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</si>
  <si>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</si>
  <si>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</si>
  <si>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</si>
  <si>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</si>
  <si>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</si>
  <si>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</si>
  <si>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</si>
  <si>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</si>
  <si>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</si>
  <si>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</si>
  <si>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</si>
  <si>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</si>
  <si>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</si>
  <si>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</si>
  <si>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</si>
  <si>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</si>
  <si>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</si>
  <si>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</si>
  <si>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</si>
  <si>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</si>
  <si>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</si>
  <si>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</si>
  <si>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</si>
  <si>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</si>
  <si>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</si>
  <si>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</si>
  <si>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</si>
  <si>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</si>
  <si>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</si>
  <si>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</si>
  <si>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</si>
  <si>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</si>
  <si>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</si>
  <si>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</si>
  <si>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</si>
  <si>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</si>
  <si>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</si>
  <si>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</si>
  <si>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</si>
  <si>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</si>
  <si>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</si>
  <si>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</si>
  <si>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</si>
  <si>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</si>
  <si>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</si>
  <si>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</si>
  <si>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</si>
  <si>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</si>
  <si>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</si>
  <si>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</si>
  <si>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</si>
  <si>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</si>
  <si>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</si>
  <si>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</si>
  <si>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</si>
  <si>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</si>
  <si>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</si>
  <si>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</si>
  <si>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</si>
  <si>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</si>
  <si>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</si>
  <si>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</si>
  <si>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</si>
  <si>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</si>
  <si>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</si>
  <si>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</si>
  <si>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</si>
  <si>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</si>
  <si>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</si>
  <si>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</si>
  <si>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</si>
  <si>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</si>
  <si>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</si>
  <si>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</si>
  <si>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</si>
  <si>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</si>
  <si>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</si>
  <si>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</si>
  <si>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</si>
  <si>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</si>
  <si>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</si>
  <si>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</si>
  <si>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</si>
  <si>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</si>
  <si>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</si>
  <si>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</si>
  <si>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</si>
  <si>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</si>
  <si>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</si>
  <si>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</si>
  <si>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</si>
  <si>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</si>
  <si>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</si>
  <si>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</si>
  <si>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</si>
  <si>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</si>
  <si>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</si>
  <si>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</si>
  <si>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</si>
  <si>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</si>
  <si>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</si>
  <si>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</si>
  <si>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</si>
  <si>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</si>
  <si>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</si>
  <si>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</si>
  <si>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</si>
  <si>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</si>
  <si>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</si>
  <si>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</si>
  <si>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</si>
  <si>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</si>
  <si>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</si>
  <si>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</si>
  <si>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</si>
  <si>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</si>
  <si>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</si>
  <si>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</si>
  <si>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</si>
  <si>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</si>
  <si>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</si>
  <si>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</si>
  <si>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</si>
  <si>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</si>
  <si>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</si>
  <si>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</si>
  <si>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</si>
  <si>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</si>
  <si>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</si>
  <si>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</si>
  <si>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</si>
  <si>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</si>
  <si>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</si>
  <si>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</si>
  <si>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</si>
  <si>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</si>
  <si>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</si>
  <si>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</si>
  <si>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</si>
  <si>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</si>
  <si>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</si>
  <si>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</si>
  <si>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</si>
  <si>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</si>
  <si>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</si>
  <si>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</si>
  <si>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</si>
  <si>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</si>
  <si>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</si>
  <si>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</si>
  <si>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</si>
  <si>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</si>
  <si>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</si>
  <si>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</si>
  <si>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</si>
  <si>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</si>
  <si>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</si>
  <si>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</si>
  <si>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</si>
  <si>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</si>
  <si>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</si>
  <si>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</si>
  <si>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</si>
  <si>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</si>
  <si>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</si>
  <si>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</si>
  <si>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</si>
  <si>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</si>
  <si>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</si>
  <si>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</si>
  <si>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</si>
  <si>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</si>
  <si>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</si>
  <si>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</si>
  <si>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</si>
  <si>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</si>
  <si>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</si>
  <si>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</si>
  <si>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</si>
  <si>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</si>
  <si>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</si>
  <si>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</si>
  <si>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</si>
  <si>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</si>
  <si>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</si>
  <si>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</si>
  <si>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</si>
  <si>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</si>
  <si>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</si>
  <si>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</si>
  <si>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</si>
  <si>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</si>
  <si>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</si>
  <si>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</si>
  <si>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</si>
  <si>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</si>
  <si>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</si>
  <si>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</si>
  <si>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</si>
  <si>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</si>
  <si>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</si>
  <si>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</si>
  <si>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</si>
  <si>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</si>
  <si>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</si>
  <si>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</si>
  <si>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</si>
  <si>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</si>
  <si>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</si>
  <si>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</si>
  <si>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</si>
  <si>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</si>
  <si>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</si>
  <si>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</si>
  <si>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</si>
  <si>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</si>
  <si>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</si>
  <si>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</si>
  <si>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</si>
  <si>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</si>
  <si>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</si>
  <si>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</si>
  <si>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</si>
  <si>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</si>
  <si>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</si>
  <si>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</si>
  <si>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</si>
  <si>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</si>
  <si>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</si>
  <si>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</si>
  <si>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</si>
  <si>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</si>
  <si>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</si>
  <si>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</si>
  <si>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</si>
  <si>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</si>
  <si>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</si>
  <si>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</si>
  <si>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</si>
  <si>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</si>
  <si>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</si>
  <si>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</si>
  <si>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</si>
  <si>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</si>
  <si>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</si>
  <si>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</si>
  <si>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</si>
  <si>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</si>
  <si>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</si>
  <si>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</si>
  <si>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</si>
  <si>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</si>
  <si>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</si>
  <si>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</si>
  <si>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</si>
  <si>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</si>
  <si>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</si>
  <si>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</si>
  <si>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</si>
  <si>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</si>
  <si>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</si>
  <si>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</si>
  <si>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</si>
  <si>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</si>
  <si>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</si>
  <si>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</si>
  <si>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</si>
  <si>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</si>
  <si>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</si>
  <si>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</si>
  <si>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</si>
  <si>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</si>
  <si>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</si>
  <si>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</si>
  <si>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</si>
  <si>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</si>
  <si>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</si>
  <si>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</si>
  <si>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</si>
  <si>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</si>
  <si>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</si>
  <si>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</si>
  <si>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</si>
  <si>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</si>
  <si>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</si>
  <si>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</si>
  <si>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</si>
  <si>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</si>
  <si>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</si>
  <si>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</si>
  <si>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</si>
  <si>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</si>
  <si>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</si>
  <si>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</si>
  <si>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</si>
  <si>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</si>
  <si>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</si>
  <si>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</si>
  <si>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</si>
  <si>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</si>
  <si>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</si>
  <si>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</si>
  <si>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</si>
  <si>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</si>
  <si>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</si>
  <si>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</si>
  <si>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</si>
  <si>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</si>
  <si>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</si>
  <si>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</si>
  <si>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</si>
  <si>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</si>
  <si>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</si>
  <si>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</si>
  <si>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</si>
  <si>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</si>
  <si>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</si>
  <si>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</si>
  <si>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</si>
  <si>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</si>
  <si>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</si>
  <si>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</si>
  <si>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</si>
  <si>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</si>
  <si>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</si>
  <si>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</si>
  <si>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</si>
  <si>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</si>
  <si>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</si>
  <si>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</si>
  <si>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</si>
  <si>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</si>
  <si>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</si>
  <si>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</si>
  <si>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</si>
  <si>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</si>
  <si>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</si>
  <si>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</si>
  <si>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</si>
  <si>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</si>
  <si>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</si>
  <si>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</si>
  <si>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</si>
  <si>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</si>
  <si>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</si>
  <si>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</si>
  <si>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</si>
  <si>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</si>
  <si>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</si>
  <si>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</si>
  <si>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</si>
  <si>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</si>
  <si>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</si>
  <si>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</si>
  <si>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</si>
  <si>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</si>
  <si>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</si>
  <si>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</si>
  <si>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</si>
  <si>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</si>
  <si>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</si>
  <si>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</si>
  <si>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</si>
  <si>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</si>
  <si>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</si>
  <si>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</si>
  <si>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</si>
  <si>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</si>
  <si>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</si>
  <si>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</si>
  <si>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</si>
  <si>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</si>
  <si>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</si>
  <si>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</si>
  <si>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</si>
  <si>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</si>
  <si>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</si>
  <si>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</si>
  <si>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</si>
  <si>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</si>
  <si>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</si>
  <si>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</si>
  <si>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</si>
  <si>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</si>
  <si>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</si>
  <si>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</si>
  <si>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</si>
  <si>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</si>
  <si>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</si>
  <si>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</si>
  <si>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</si>
  <si>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</si>
  <si>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</si>
  <si>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</si>
  <si>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</si>
  <si>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</si>
  <si>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</si>
  <si>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</si>
  <si>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</si>
  <si>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</si>
  <si>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</si>
  <si>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</si>
  <si>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</si>
  <si>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</si>
  <si>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</si>
  <si>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</si>
  <si>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</si>
  <si>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</si>
  <si>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</si>
  <si>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</si>
  <si>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</si>
  <si>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</si>
  <si>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</si>
  <si>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</si>
  <si>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</si>
  <si>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</si>
  <si>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</si>
  <si>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</si>
  <si>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</si>
  <si>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</si>
  <si>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</si>
  <si>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</si>
  <si>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</si>
  <si>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</si>
  <si>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</si>
  <si>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</si>
  <si>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</si>
  <si>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</si>
  <si>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</si>
  <si>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</si>
  <si>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</si>
  <si>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</si>
  <si>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</si>
  <si>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</si>
  <si>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</si>
  <si>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</si>
  <si>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</si>
  <si>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</si>
  <si>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</si>
  <si>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</si>
  <si>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</si>
  <si>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</si>
  <si>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</si>
  <si>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</si>
  <si>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</si>
  <si>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</si>
  <si>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</si>
  <si>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</si>
  <si>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</si>
  <si>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</si>
  <si>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</si>
  <si>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</si>
  <si>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</si>
  <si>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</si>
  <si>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</si>
  <si>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</si>
  <si>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</si>
  <si>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</si>
  <si>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</si>
  <si>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</si>
  <si>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</si>
  <si>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</si>
  <si>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</si>
  <si>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</si>
  <si>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</si>
  <si>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</si>
  <si>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</si>
  <si>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</si>
  <si>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</si>
  <si>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</si>
  <si>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</si>
  <si>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</si>
  <si>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</si>
  <si>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</si>
  <si>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</si>
  <si>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</si>
  <si>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</si>
  <si>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</si>
  <si>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</si>
  <si>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</si>
  <si>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</si>
  <si>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</si>
  <si>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</si>
  <si>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</si>
  <si>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</si>
  <si>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</si>
  <si>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</si>
  <si>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</si>
  <si>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</si>
  <si>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</si>
  <si>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</si>
  <si>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</si>
  <si>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</si>
  <si>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</si>
  <si>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</si>
  <si>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</si>
  <si>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</si>
  <si>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</si>
  <si>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</si>
  <si>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</si>
  <si>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</si>
  <si>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</si>
  <si>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</si>
  <si>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</si>
  <si>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</si>
  <si>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</si>
  <si>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</si>
  <si>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</si>
  <si>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</si>
  <si>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</si>
  <si>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</si>
  <si>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</si>
  <si>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</si>
  <si>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</si>
  <si>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</si>
  <si>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</si>
  <si>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</si>
  <si>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</si>
  <si>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</si>
  <si>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</si>
  <si>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</si>
  <si>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</si>
  <si>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</si>
  <si>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</si>
  <si>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</si>
  <si>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</si>
  <si>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</si>
  <si>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</si>
  <si>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</si>
  <si>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</si>
  <si>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</si>
  <si>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</si>
  <si>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</si>
  <si>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</si>
  <si>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</si>
  <si>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</si>
  <si>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</si>
  <si>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</si>
  <si>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</si>
  <si>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</si>
  <si>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</si>
  <si>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</si>
  <si>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</si>
  <si>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</si>
  <si>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</si>
  <si>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</si>
  <si>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</si>
  <si>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</si>
  <si>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</si>
  <si>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</si>
  <si>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</si>
  <si>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</si>
  <si>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</si>
  <si>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</si>
  <si>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</si>
  <si>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</si>
  <si>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</si>
  <si>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</si>
  <si>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</si>
  <si>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</si>
  <si>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</si>
  <si>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</si>
  <si>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</si>
  <si>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</si>
  <si>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</si>
  <si>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</si>
  <si>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</si>
  <si>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</si>
  <si>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</si>
  <si>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</si>
  <si>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</si>
  <si>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</si>
  <si>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</si>
  <si>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</si>
  <si>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</si>
  <si>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</si>
  <si>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</si>
  <si>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</si>
  <si>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</si>
  <si>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</si>
  <si>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</si>
  <si>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</si>
  <si>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</si>
  <si>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</si>
  <si>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</si>
  <si>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</si>
  <si>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</si>
  <si>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</si>
  <si>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</si>
  <si>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</si>
  <si>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</si>
  <si>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</si>
  <si>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</si>
  <si>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</si>
  <si>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</si>
  <si>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</si>
  <si>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</si>
  <si>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</si>
  <si>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</si>
  <si>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</si>
  <si>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</si>
  <si>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</si>
  <si>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</si>
  <si>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</si>
  <si>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</si>
  <si>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</si>
  <si>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</si>
  <si>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</si>
  <si>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</si>
  <si>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</si>
  <si>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</si>
  <si>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</si>
  <si>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</si>
  <si>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</si>
  <si>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</si>
  <si>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</si>
  <si>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</si>
  <si>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</si>
  <si>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</si>
  <si>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</si>
  <si>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</si>
  <si>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</si>
  <si>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</si>
  <si>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</si>
  <si>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</si>
  <si>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</si>
  <si>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</si>
  <si>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</si>
  <si>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</si>
  <si>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</si>
  <si>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</si>
  <si>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</si>
  <si>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</si>
  <si>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</si>
  <si>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</si>
  <si>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</si>
  <si>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</si>
  <si>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</si>
  <si>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</si>
  <si>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</si>
  <si>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</si>
  <si>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</si>
  <si>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</si>
  <si>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</si>
  <si>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</si>
  <si>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</si>
  <si>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</si>
  <si>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</si>
  <si>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</si>
  <si>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</si>
  <si>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</si>
  <si>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</si>
  <si>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</si>
  <si>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</si>
  <si>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</si>
  <si>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</si>
  <si>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</si>
  <si>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</si>
  <si>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</si>
  <si>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</si>
  <si>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</si>
  <si>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</si>
  <si>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</si>
  <si>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</si>
  <si>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</si>
  <si>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</si>
  <si>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</si>
  <si>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</si>
  <si>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</si>
  <si>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</si>
  <si>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</si>
  <si>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</si>
  <si>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</si>
  <si>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</si>
  <si>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</si>
  <si>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</si>
  <si>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</si>
  <si>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</si>
  <si>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</si>
  <si>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</si>
  <si>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</si>
  <si>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</si>
  <si>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</si>
  <si>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</si>
  <si>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</si>
  <si>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</si>
  <si>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</si>
  <si>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</si>
  <si>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</si>
  <si>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</si>
  <si>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</si>
  <si>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</si>
  <si>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</si>
  <si>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</si>
  <si>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</si>
  <si>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</si>
  <si>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</si>
  <si>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</si>
  <si>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</si>
  <si>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</si>
  <si>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</si>
  <si>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</si>
  <si>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</si>
  <si>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</si>
  <si>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</si>
  <si>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</si>
  <si>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</si>
  <si>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</si>
  <si>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</si>
  <si>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</si>
  <si>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</si>
  <si>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</si>
  <si>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</si>
  <si>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</si>
  <si>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</si>
  <si>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</si>
  <si>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</si>
  <si>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</si>
  <si>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</si>
  <si>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</si>
  <si>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</si>
  <si>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</si>
  <si>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</si>
  <si>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</si>
  <si>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</si>
  <si>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</si>
  <si>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</si>
  <si>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</si>
  <si>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</si>
  <si>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</si>
  <si>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</si>
  <si>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</si>
  <si>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</si>
  <si>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</si>
  <si>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</si>
  <si>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</si>
  <si>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</si>
  <si>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</si>
  <si>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</si>
  <si>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</si>
  <si>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</si>
  <si>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</si>
  <si>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</si>
  <si>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</si>
  <si>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</si>
  <si>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</si>
  <si>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</si>
  <si>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</si>
  <si>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</si>
  <si>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</si>
  <si>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</si>
  <si>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</si>
  <si>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</si>
  <si>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</si>
  <si>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</si>
  <si>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</si>
  <si>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</si>
  <si>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</si>
  <si>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</si>
  <si>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</si>
  <si>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</si>
  <si>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</si>
  <si>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</si>
  <si>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</si>
  <si>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</si>
  <si>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</si>
  <si>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</si>
  <si>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</si>
  <si>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</si>
  <si>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</si>
  <si>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</si>
  <si>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</si>
  <si>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</si>
  <si>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</si>
  <si>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</si>
  <si>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</si>
  <si>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</si>
  <si>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</si>
  <si>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</si>
  <si>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</si>
  <si>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</si>
  <si>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</si>
  <si>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</si>
  <si>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</si>
  <si>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</si>
  <si>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</si>
  <si>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</si>
  <si>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</si>
  <si>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</si>
  <si>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</si>
  <si>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</si>
  <si>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</si>
  <si>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</si>
  <si>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</si>
  <si>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</si>
  <si>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</si>
  <si>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</si>
  <si>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</si>
  <si>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</si>
  <si>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</si>
  <si>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</si>
  <si>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</si>
  <si>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</si>
  <si>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</si>
  <si>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</si>
  <si>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</si>
  <si>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</si>
  <si>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</si>
  <si>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</si>
  <si>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</si>
  <si>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</si>
  <si>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</si>
  <si>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</si>
  <si>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</si>
  <si>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</si>
  <si>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</si>
  <si>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</si>
  <si>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</si>
  <si>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</si>
  <si>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</si>
  <si>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</si>
  <si>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</si>
  <si>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</si>
  <si>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</si>
  <si>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</si>
  <si>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</si>
  <si>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</si>
  <si>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</si>
  <si>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</si>
  <si>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</si>
  <si>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</si>
  <si>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</si>
  <si>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</si>
  <si>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</si>
  <si>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</si>
  <si>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</si>
  <si>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</si>
  <si>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</si>
  <si>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</si>
  <si>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</si>
  <si>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</si>
  <si>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</si>
  <si>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</si>
  <si>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</si>
  <si>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</si>
  <si>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</si>
  <si>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</si>
  <si>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</si>
  <si>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</si>
  <si>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</si>
  <si>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</si>
  <si>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</si>
  <si>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</si>
  <si>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</si>
  <si>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</si>
  <si>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</si>
  <si>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</si>
  <si>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</si>
  <si>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</si>
  <si>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</si>
  <si>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</si>
  <si>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</si>
  <si>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</si>
  <si>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</si>
  <si>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</si>
  <si>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</si>
  <si>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</si>
  <si>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</si>
  <si>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</si>
  <si>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</si>
  <si>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</si>
  <si>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</si>
  <si>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</si>
  <si>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</si>
  <si>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</si>
  <si>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</si>
  <si>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</si>
  <si>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</si>
  <si>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</si>
  <si>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</si>
  <si>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</si>
  <si>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</si>
  <si>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</si>
  <si>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</si>
  <si>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</si>
  <si>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</si>
  <si>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</si>
  <si>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</si>
  <si>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</si>
  <si>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</si>
  <si>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</si>
  <si>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</si>
  <si>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</si>
  <si>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</si>
  <si>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</si>
  <si>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</si>
  <si>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</si>
  <si>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</si>
  <si>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</si>
  <si>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</si>
  <si>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</si>
  <si>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</si>
  <si>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</si>
  <si>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</si>
  <si>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</si>
  <si>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</si>
  <si>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</si>
  <si>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</si>
  <si>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</si>
  <si>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</si>
  <si>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</si>
  <si>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</si>
  <si>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</si>
  <si>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</si>
  <si>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</si>
  <si>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</si>
  <si>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</si>
  <si>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</si>
  <si>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</si>
  <si>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</si>
  <si>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</si>
  <si>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</si>
  <si>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</si>
  <si>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</si>
  <si>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</si>
  <si>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</si>
  <si>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</si>
  <si>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</si>
  <si>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</si>
  <si>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</si>
  <si>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</si>
  <si>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</si>
  <si>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</si>
  <si>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</si>
  <si>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</si>
  <si>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</si>
  <si>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</si>
  <si>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</si>
  <si>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</si>
  <si>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</si>
  <si>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</si>
  <si>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</si>
  <si>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</si>
  <si>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</si>
  <si>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</si>
  <si>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</si>
  <si>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</si>
  <si>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</si>
  <si>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</si>
  <si>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</si>
  <si>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</si>
  <si>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</si>
  <si>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</si>
  <si>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</si>
  <si>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</si>
  <si>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</si>
  <si>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</si>
  <si>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</si>
  <si>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</si>
  <si>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</si>
  <si>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</si>
  <si>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</si>
  <si>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</si>
  <si>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</si>
  <si>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</si>
  <si>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</si>
  <si>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</si>
  <si>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</si>
  <si>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</si>
  <si>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</si>
  <si>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</si>
  <si>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</si>
  <si>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</si>
  <si>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</si>
  <si>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</si>
  <si>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</si>
  <si>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</si>
  <si>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</si>
  <si>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</si>
  <si>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</si>
  <si>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</si>
  <si>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</si>
  <si>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</si>
  <si>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</si>
  <si>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</si>
  <si>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</si>
  <si>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</si>
  <si>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</si>
  <si>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</si>
  <si>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</si>
  <si>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</si>
  <si>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</si>
  <si>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</si>
  <si>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</si>
  <si>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</si>
  <si>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</si>
  <si>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</si>
  <si>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</si>
  <si>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</si>
  <si>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</si>
  <si>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</si>
  <si>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</si>
  <si>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</si>
  <si>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</si>
  <si>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</si>
  <si>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</si>
  <si>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</si>
  <si>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</si>
  <si>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</si>
  <si>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</si>
  <si>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</si>
  <si>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</si>
  <si>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</si>
  <si>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</si>
  <si>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</si>
  <si>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</si>
  <si>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</si>
  <si>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</si>
  <si>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</si>
  <si>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</si>
  <si>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</si>
  <si>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</si>
  <si>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</si>
  <si>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</si>
  <si>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</si>
  <si>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</si>
  <si>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</si>
  <si>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</si>
  <si>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</si>
  <si>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</si>
  <si>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</si>
  <si>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</si>
  <si>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</si>
  <si>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</si>
  <si>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</si>
  <si>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</si>
  <si>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</si>
  <si>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</si>
  <si>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</si>
  <si>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</si>
  <si>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</si>
  <si>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</si>
  <si>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</si>
  <si>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</si>
  <si>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</si>
  <si>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</si>
  <si>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</si>
  <si>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</si>
  <si>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</si>
  <si>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</si>
  <si>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</si>
  <si>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</si>
  <si>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</si>
  <si>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</si>
  <si>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</si>
  <si>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</si>
  <si>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</si>
  <si>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</si>
  <si>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</si>
  <si>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</si>
  <si>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</si>
  <si>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</si>
  <si>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</si>
  <si>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</si>
  <si>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</si>
  <si>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</si>
  <si>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</si>
  <si>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</si>
  <si>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</si>
  <si>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</si>
  <si>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</si>
  <si>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</si>
  <si>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</si>
  <si>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</si>
  <si>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</si>
  <si>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</si>
  <si>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</si>
  <si>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</si>
  <si>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</si>
  <si>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</si>
  <si>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</si>
  <si>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</si>
  <si>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</si>
  <si>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</si>
  <si>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</si>
  <si>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</si>
  <si>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</si>
  <si>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</si>
  <si>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</si>
  <si>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</si>
  <si>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</si>
  <si>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</si>
  <si>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</si>
  <si>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</si>
  <si>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</si>
  <si>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</si>
  <si>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</si>
  <si>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</si>
  <si>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</si>
  <si>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</si>
  <si>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</si>
  <si>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</si>
  <si>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</si>
  <si>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</si>
  <si>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</si>
  <si>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</si>
  <si>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</si>
  <si>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</si>
  <si>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</si>
  <si>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</si>
  <si>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</si>
  <si>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</si>
  <si>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</si>
  <si>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</si>
  <si>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</si>
  <si>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</si>
  <si>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</si>
  <si>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</si>
  <si>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</si>
  <si>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</si>
  <si>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</si>
  <si>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</si>
  <si>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</si>
  <si>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</si>
  <si>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</si>
  <si>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</si>
  <si>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</si>
  <si>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</si>
  <si>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</si>
  <si>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</si>
  <si>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</si>
  <si>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</si>
  <si>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</si>
  <si>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</si>
  <si>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</si>
  <si>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</si>
  <si>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</si>
  <si>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</si>
  <si>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</si>
  <si>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</si>
  <si>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</si>
  <si>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</si>
  <si>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</si>
  <si>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</si>
  <si>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</si>
  <si>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</si>
  <si>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</si>
  <si>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</si>
  <si>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</si>
  <si>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</si>
  <si>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</si>
  <si>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</si>
  <si>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</si>
  <si>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</si>
  <si>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</si>
  <si>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</si>
  <si>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</si>
  <si>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</si>
  <si>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</si>
  <si>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</si>
  <si>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</si>
  <si>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</si>
  <si>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</si>
  <si>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</si>
  <si>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</si>
  <si>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</si>
  <si>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</si>
  <si>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</si>
  <si>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</si>
  <si>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</si>
  <si>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</si>
  <si>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</si>
  <si>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</si>
  <si>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</si>
  <si>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</si>
  <si>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</si>
  <si>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</si>
  <si>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</si>
  <si>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</si>
  <si>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</si>
  <si>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</si>
  <si>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</si>
  <si>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</si>
  <si>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</si>
  <si>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</si>
  <si>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</si>
  <si>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</si>
  <si>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</si>
  <si>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</si>
  <si>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</si>
  <si>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</si>
  <si>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</si>
  <si>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</si>
  <si>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</si>
  <si>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</si>
  <si>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</si>
  <si>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</si>
  <si>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</si>
  <si>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</si>
  <si>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</si>
  <si>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</si>
  <si>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</si>
  <si>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</si>
  <si>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</si>
  <si>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</si>
  <si>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</si>
  <si>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</si>
  <si>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</si>
  <si>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</si>
  <si>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</si>
  <si>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</si>
  <si>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</si>
  <si>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</si>
  <si>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</si>
  <si>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</si>
  <si>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</si>
  <si>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</si>
  <si>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</si>
  <si>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</si>
  <si>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</si>
  <si>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</si>
  <si>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</si>
  <si>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</si>
  <si>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</si>
  <si>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</si>
  <si>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</si>
  <si>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</si>
  <si>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</si>
  <si>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</si>
  <si>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</si>
  <si>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</si>
  <si>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</si>
  <si>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</si>
  <si>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</si>
  <si>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</si>
  <si>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</si>
  <si>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</si>
  <si>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</si>
  <si>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</si>
  <si>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</si>
  <si>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</si>
  <si>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</si>
  <si>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</si>
  <si>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</si>
  <si>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</si>
  <si>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</si>
  <si>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</si>
  <si>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</si>
  <si>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</si>
  <si>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</si>
  <si>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</si>
  <si>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</si>
  <si>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</si>
  <si>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</si>
  <si>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</si>
  <si>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</si>
  <si>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</si>
  <si>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</si>
  <si>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</si>
  <si>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</si>
  <si>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</si>
  <si>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</si>
  <si>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</si>
  <si>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</si>
  <si>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</si>
  <si>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</si>
  <si>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</si>
  <si>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</si>
  <si>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</si>
  <si>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</si>
  <si>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</si>
  <si>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</si>
  <si>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</si>
  <si>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</si>
  <si>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</si>
  <si>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</si>
  <si>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</si>
  <si>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</si>
  <si>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</si>
  <si>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</si>
  <si>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</si>
  <si>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</si>
  <si>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</si>
  <si>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</si>
  <si>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</si>
  <si>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</si>
  <si>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</si>
  <si>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</si>
  <si>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</si>
  <si>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</si>
  <si>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</si>
  <si>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</si>
  <si>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</si>
  <si>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</si>
  <si>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</si>
  <si>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</si>
  <si>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</si>
  <si>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</si>
  <si>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</si>
  <si>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</si>
  <si>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</si>
  <si>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</si>
  <si>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</si>
  <si>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</si>
  <si>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</si>
  <si>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</si>
  <si>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</si>
  <si>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</si>
  <si>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</si>
  <si>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</si>
  <si>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</si>
  <si>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</si>
  <si>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</si>
  <si>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</si>
  <si>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</si>
  <si>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</si>
  <si>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</si>
  <si>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</si>
  <si>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</si>
  <si>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</si>
  <si>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</si>
  <si>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</si>
  <si>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</si>
  <si>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</si>
  <si>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</si>
  <si>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</si>
  <si>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</si>
  <si>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</si>
  <si>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</si>
  <si>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</si>
  <si>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</si>
  <si>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</si>
  <si>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</si>
  <si>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</si>
  <si>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</si>
  <si>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</si>
  <si>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</si>
  <si>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</si>
  <si>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</si>
  <si>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</si>
  <si>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</si>
  <si>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</si>
  <si>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</si>
  <si>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</si>
  <si>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</si>
  <si>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</si>
  <si>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</si>
  <si>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</si>
  <si>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</si>
  <si>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</si>
  <si>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</si>
  <si>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</si>
  <si>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</si>
  <si>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</si>
  <si>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</si>
  <si>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</si>
  <si>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</si>
  <si>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</si>
  <si>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</si>
  <si>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</si>
  <si>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</si>
  <si>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</si>
  <si>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</si>
  <si>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</si>
  <si>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</si>
  <si>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</si>
  <si>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</si>
  <si>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</si>
  <si>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</si>
  <si>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</si>
  <si>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</si>
  <si>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</si>
  <si>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</si>
  <si>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</si>
  <si>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</si>
  <si>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</si>
  <si>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</si>
  <si>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</si>
  <si>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</si>
  <si>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</si>
  <si>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</si>
  <si>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</si>
  <si>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</si>
  <si>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</si>
  <si>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</si>
  <si>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</si>
  <si>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</si>
  <si>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</si>
  <si>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</si>
  <si>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</si>
  <si>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</si>
  <si>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</si>
  <si>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</si>
  <si>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</si>
  <si>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</si>
  <si>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</si>
  <si>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</si>
  <si>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</si>
  <si>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</si>
  <si>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</si>
  <si>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</si>
  <si>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</si>
  <si>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</si>
  <si>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</si>
  <si>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</si>
  <si>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</si>
  <si>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</si>
  <si>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</si>
  <si>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</si>
  <si>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</si>
  <si>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</si>
  <si>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</si>
  <si>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</si>
  <si>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</si>
  <si>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</si>
  <si>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</si>
  <si>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</si>
  <si>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</si>
  <si>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</si>
  <si>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</si>
  <si>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</si>
  <si>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</si>
  <si>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</si>
  <si>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</si>
  <si>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</si>
  <si>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</si>
  <si>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</si>
  <si>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</si>
  <si>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</si>
  <si>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</si>
  <si>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</si>
  <si>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</si>
  <si>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</si>
  <si>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</si>
  <si>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</si>
  <si>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</si>
  <si>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</si>
  <si>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</si>
  <si>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</si>
  <si>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</si>
  <si>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</si>
  <si>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</si>
  <si>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</si>
  <si>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</si>
  <si>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</si>
  <si>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</si>
  <si>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</si>
  <si>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</si>
  <si>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</si>
  <si>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</si>
  <si>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</si>
  <si>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</si>
  <si>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</si>
  <si>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</si>
  <si>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</si>
  <si>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</si>
  <si>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</si>
  <si>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</si>
  <si>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</si>
  <si>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</si>
  <si>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</si>
  <si>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</si>
  <si>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</si>
  <si>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</si>
  <si>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</si>
  <si>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</si>
  <si>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</si>
  <si>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</si>
  <si>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</si>
  <si>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</si>
  <si>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</si>
  <si>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</si>
  <si>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</si>
  <si>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</si>
  <si>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</si>
  <si>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</si>
  <si>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</si>
  <si>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</si>
  <si>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</si>
  <si>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</si>
  <si>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</si>
  <si>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</si>
  <si>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</si>
  <si>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</si>
  <si>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</si>
  <si>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</si>
  <si>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</si>
  <si>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</si>
  <si>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</si>
  <si>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</si>
  <si>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</si>
  <si>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</si>
  <si>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</si>
  <si>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</si>
  <si>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</si>
  <si>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</si>
  <si>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</si>
  <si>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</si>
  <si>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</si>
  <si>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</si>
  <si>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</si>
  <si>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</si>
  <si>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</si>
  <si>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</si>
  <si>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</si>
  <si>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</si>
  <si>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</si>
  <si>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</si>
  <si>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</si>
  <si>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</si>
  <si>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</si>
  <si>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</si>
  <si>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</si>
  <si>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</si>
  <si>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</si>
  <si>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</si>
  <si>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</si>
  <si>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</si>
  <si>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</si>
  <si>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</si>
  <si>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</si>
  <si>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</si>
  <si>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</si>
  <si>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</si>
  <si>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</si>
  <si>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</si>
  <si>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</si>
  <si>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</si>
  <si>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</si>
  <si>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</si>
  <si>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</si>
  <si>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</si>
  <si>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</si>
  <si>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</si>
  <si>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</si>
  <si>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</si>
  <si>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</si>
  <si>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</si>
  <si>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</si>
  <si>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</si>
  <si>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</si>
  <si>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</si>
  <si>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</si>
  <si>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</si>
  <si>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</si>
  <si>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</si>
  <si>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</si>
  <si>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</si>
  <si>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</si>
  <si>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</si>
  <si>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</si>
  <si>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</si>
  <si>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</si>
  <si>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</si>
  <si>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</si>
  <si>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</si>
  <si>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</si>
  <si>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</si>
  <si>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</si>
  <si>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</si>
  <si>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</si>
  <si>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</si>
  <si>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</si>
  <si>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</si>
  <si>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</si>
  <si>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</si>
  <si>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</si>
  <si>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</si>
  <si>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</si>
  <si>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</si>
  <si>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</si>
  <si>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</si>
  <si>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</si>
  <si>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</si>
  <si>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</si>
  <si>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</si>
  <si>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</si>
  <si>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</si>
  <si>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</si>
  <si>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</si>
  <si>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</si>
  <si>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</si>
  <si>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</si>
  <si>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</si>
  <si>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</si>
  <si>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</si>
  <si>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</si>
  <si>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</si>
  <si>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</si>
  <si>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</si>
  <si>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</si>
  <si>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</si>
  <si>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</si>
  <si>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</si>
  <si>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</si>
  <si>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</si>
  <si>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</si>
  <si>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</si>
  <si>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</si>
  <si>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</si>
  <si>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</si>
  <si>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</si>
  <si>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</si>
  <si>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</si>
  <si>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</si>
  <si>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</si>
  <si>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</si>
  <si>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</si>
  <si>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</si>
  <si>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</si>
  <si>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</si>
  <si>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</si>
  <si>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</si>
  <si>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</si>
  <si>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</si>
  <si>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</si>
  <si>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</si>
  <si>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</si>
  <si>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</si>
  <si>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</si>
  <si>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</si>
  <si>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</si>
  <si>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</si>
  <si>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</si>
  <si>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</si>
  <si>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</si>
  <si>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</si>
  <si>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</si>
  <si>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</si>
  <si>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</si>
  <si>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</si>
  <si>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</si>
  <si>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</si>
  <si>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</si>
  <si>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</si>
  <si>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</si>
  <si>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</si>
  <si>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</si>
  <si>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</si>
  <si>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</si>
  <si>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</si>
  <si>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</si>
  <si>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</si>
  <si>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</si>
  <si>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</si>
  <si>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</si>
  <si>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</si>
  <si>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</si>
  <si>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</si>
  <si>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</si>
  <si>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</si>
  <si>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</si>
  <si>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</si>
  <si>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</si>
  <si>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</si>
  <si>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</si>
  <si>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</si>
  <si>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</si>
  <si>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</si>
  <si>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</si>
  <si>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</si>
  <si>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</si>
  <si>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</si>
  <si>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</si>
  <si>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</si>
  <si>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</si>
  <si>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</si>
  <si>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</si>
  <si>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</si>
  <si>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</si>
  <si>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</si>
  <si>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</si>
  <si>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</si>
  <si>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</si>
  <si>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</si>
  <si>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</si>
  <si>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</si>
  <si>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</si>
  <si>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</si>
  <si>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</si>
  <si>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</si>
  <si>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</si>
  <si>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</si>
  <si>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</si>
  <si>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</si>
  <si>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</si>
  <si>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</si>
  <si>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</si>
  <si>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</si>
  <si>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</si>
  <si>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</si>
  <si>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</si>
  <si>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</si>
  <si>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</si>
  <si>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</si>
  <si>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</si>
  <si>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</si>
  <si>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</si>
  <si>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</si>
  <si>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</si>
  <si>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</si>
  <si>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</si>
  <si>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</si>
  <si>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</si>
  <si>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</si>
  <si>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</si>
  <si>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</si>
  <si>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</si>
  <si>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</si>
  <si>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</si>
  <si>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</si>
  <si>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</si>
  <si>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</si>
  <si>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</si>
  <si>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</si>
  <si>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</si>
  <si>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</si>
  <si>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</si>
  <si>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</si>
  <si>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</si>
  <si>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</si>
  <si>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</si>
  <si>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</si>
  <si>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</si>
  <si>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</si>
  <si>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</si>
  <si>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</si>
  <si>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</si>
  <si>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</si>
  <si>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</si>
  <si>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</si>
  <si>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</si>
  <si>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</si>
  <si>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</si>
  <si>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</si>
  <si>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</si>
  <si>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</si>
  <si>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</si>
  <si>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</si>
  <si>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</si>
  <si>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</si>
  <si>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</si>
  <si>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</si>
  <si>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</si>
  <si>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</si>
  <si>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</si>
  <si>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</si>
  <si>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</si>
  <si>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</si>
  <si>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</si>
  <si>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</si>
  <si>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</si>
  <si>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</si>
  <si>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</si>
  <si>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</si>
  <si>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</si>
  <si>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</si>
  <si>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</si>
  <si>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</si>
  <si>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</si>
  <si>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</si>
  <si>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</si>
  <si>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</si>
  <si>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</si>
  <si>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</si>
  <si>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</si>
  <si>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</si>
  <si>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</si>
  <si>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</si>
  <si>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</si>
  <si>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</si>
  <si>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</si>
  <si>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</si>
  <si>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</si>
  <si>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</si>
  <si>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</si>
  <si>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</si>
  <si>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</si>
  <si>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</si>
  <si>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</si>
  <si>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</si>
  <si>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</si>
  <si>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</si>
  <si>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</si>
  <si>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</si>
  <si>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</si>
  <si>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</si>
  <si>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</si>
  <si>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</si>
  <si>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</si>
  <si>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</si>
  <si>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</si>
  <si>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</si>
  <si>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</si>
  <si>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</si>
  <si>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</si>
  <si>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</si>
  <si>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</si>
  <si>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</si>
  <si>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</si>
  <si>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</si>
  <si>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</si>
  <si>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</si>
  <si>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</si>
  <si>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</si>
  <si>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</si>
  <si>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</si>
  <si>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</si>
  <si>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</si>
  <si>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</si>
  <si>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</si>
  <si>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</si>
  <si>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</si>
  <si>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</si>
  <si>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</si>
  <si>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</si>
  <si>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</si>
  <si>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</si>
  <si>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</si>
  <si>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</si>
  <si>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</si>
  <si>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</si>
  <si>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</si>
  <si>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</si>
  <si>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</si>
  <si>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</si>
  <si>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</si>
  <si>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</si>
  <si>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</si>
  <si>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</si>
  <si>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</si>
  <si>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</si>
  <si>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</si>
  <si>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</si>
  <si>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</si>
  <si>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</si>
  <si>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</si>
  <si>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</si>
  <si>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</si>
  <si>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</si>
  <si>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</si>
  <si>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</si>
  <si>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</si>
  <si>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</si>
  <si>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</si>
  <si>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</si>
  <si>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</si>
  <si>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</si>
  <si>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</si>
  <si>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</si>
  <si>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</si>
  <si>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</si>
  <si>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</si>
  <si>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</si>
  <si>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</si>
  <si>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</si>
  <si>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</si>
  <si>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</si>
  <si>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</si>
  <si>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</si>
  <si>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</si>
  <si>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</si>
  <si>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</si>
  <si>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</si>
  <si>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</si>
  <si>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</si>
  <si>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</si>
  <si>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</si>
  <si>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</si>
  <si>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</si>
  <si>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</si>
  <si>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</si>
  <si>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</si>
  <si>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</si>
  <si>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</si>
  <si>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</si>
  <si>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</si>
  <si>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</si>
  <si>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</si>
  <si>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</si>
  <si>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</si>
  <si>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</si>
  <si>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</si>
  <si>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</si>
  <si>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</si>
  <si>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</si>
  <si>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</si>
  <si>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</si>
  <si>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</si>
  <si>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</si>
  <si>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</si>
  <si>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</si>
  <si>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</si>
  <si>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</si>
  <si>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</si>
  <si>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</si>
  <si>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</si>
  <si>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</si>
  <si>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</si>
  <si>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</si>
  <si>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</si>
  <si>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</si>
  <si>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</si>
  <si>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</si>
  <si>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</si>
  <si>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</si>
  <si>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</si>
  <si>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</si>
  <si>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</si>
  <si>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</si>
  <si>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</si>
  <si>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</si>
  <si>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</si>
  <si>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</si>
  <si>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</si>
  <si>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</si>
  <si>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</si>
  <si>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</si>
  <si>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</si>
  <si>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</si>
  <si>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</si>
  <si>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</si>
  <si>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</si>
  <si>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</si>
  <si>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</si>
  <si>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</si>
  <si>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</si>
  <si>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</si>
  <si>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</si>
  <si>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</si>
  <si>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</si>
  <si>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</si>
  <si>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</si>
  <si>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</si>
  <si>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</si>
  <si>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</si>
  <si>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</si>
  <si>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</si>
  <si>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</si>
  <si>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</si>
  <si>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</si>
  <si>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</si>
  <si>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</si>
  <si>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</si>
  <si>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</si>
  <si>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</si>
  <si>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</si>
  <si>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</si>
  <si>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</si>
  <si>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</si>
  <si>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</si>
  <si>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</si>
  <si>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</si>
  <si>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</si>
  <si>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</si>
  <si>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</si>
  <si>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</si>
  <si>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</si>
  <si>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</si>
  <si>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</si>
  <si>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</si>
  <si>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</si>
  <si>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</si>
  <si>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</si>
  <si>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</si>
  <si>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</si>
  <si>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</si>
  <si>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</si>
  <si>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</si>
  <si>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</si>
  <si>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</si>
  <si>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</si>
  <si>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</si>
  <si>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</si>
  <si>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</si>
  <si>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</si>
  <si>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</si>
  <si>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</si>
  <si>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</si>
  <si>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</si>
  <si>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</si>
  <si>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</si>
  <si>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</si>
  <si>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</si>
  <si>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</si>
  <si>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</si>
  <si>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</si>
  <si>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</si>
  <si>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</si>
  <si>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</si>
  <si>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</si>
  <si>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</si>
  <si>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</si>
  <si>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</si>
  <si>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</si>
  <si>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</si>
  <si>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</si>
  <si>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</si>
  <si>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</si>
  <si>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</si>
  <si>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</si>
  <si>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</si>
  <si>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</si>
  <si>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</si>
  <si>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</si>
  <si>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</si>
  <si>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</si>
  <si>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</si>
  <si>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</si>
  <si>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</si>
  <si>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</si>
  <si>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</si>
  <si>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</si>
  <si>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</si>
  <si>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</si>
  <si>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</si>
  <si>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</si>
  <si>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</si>
  <si>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</si>
  <si>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</si>
  <si>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</si>
  <si>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</si>
  <si>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</si>
  <si>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</si>
  <si>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</si>
  <si>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</si>
  <si>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</si>
  <si>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</si>
  <si>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</si>
  <si>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</si>
  <si>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</si>
  <si>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</si>
  <si>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</si>
  <si>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</si>
  <si>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</si>
  <si>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</si>
  <si>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</si>
  <si>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</si>
  <si>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</si>
  <si>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</si>
  <si>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</si>
  <si>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</si>
  <si>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</si>
  <si>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</si>
  <si>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</si>
  <si>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</si>
  <si>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</si>
  <si>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</si>
  <si>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</si>
  <si>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</si>
  <si>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</si>
  <si>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</si>
  <si>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</si>
  <si>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</si>
  <si>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</si>
  <si>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</si>
  <si>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</si>
  <si>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</si>
  <si>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</si>
  <si>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</si>
  <si>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</si>
  <si>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</si>
  <si>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</si>
  <si>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</si>
  <si>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</si>
  <si>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</si>
  <si>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</si>
  <si>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</si>
  <si>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</si>
  <si>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</si>
  <si>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</si>
  <si>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</si>
  <si>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</si>
  <si>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</si>
  <si>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</si>
  <si>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</si>
  <si>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</si>
  <si>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</si>
  <si>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</si>
  <si>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</si>
  <si>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</si>
  <si>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</si>
  <si>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</si>
  <si>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</si>
  <si>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</si>
  <si>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</si>
  <si>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</si>
  <si>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</si>
  <si>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</si>
  <si>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</si>
  <si>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</si>
  <si>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</si>
  <si>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</si>
  <si>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</si>
  <si>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</si>
  <si>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</si>
  <si>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</si>
  <si>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</si>
  <si>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</si>
  <si>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</si>
  <si>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</si>
  <si>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</si>
  <si>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</si>
  <si>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</si>
  <si>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</si>
  <si>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</si>
  <si>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</si>
  <si>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</si>
  <si>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</si>
  <si>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</si>
  <si>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</si>
  <si>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</si>
  <si>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</si>
  <si>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</si>
  <si>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</si>
  <si>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</si>
  <si>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</si>
  <si>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</si>
  <si>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</si>
  <si>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</si>
  <si>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</si>
  <si>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</si>
  <si>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</si>
  <si>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</si>
  <si>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</si>
  <si>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</si>
  <si>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</si>
  <si>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</si>
  <si>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</si>
  <si>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</si>
  <si>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</si>
  <si>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</si>
  <si>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</si>
  <si>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</si>
  <si>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</si>
  <si>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</si>
  <si>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</si>
  <si>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</si>
  <si>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</si>
  <si>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</si>
  <si>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</si>
  <si>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</si>
  <si>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</si>
  <si>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</si>
  <si>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</si>
  <si>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</si>
  <si>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</si>
  <si>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</si>
  <si>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</si>
  <si>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</si>
  <si>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</si>
  <si>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</si>
  <si>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</si>
  <si>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</si>
  <si>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</si>
  <si>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</si>
  <si>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</si>
  <si>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</si>
  <si>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</si>
  <si>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</si>
  <si>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</si>
  <si>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</si>
  <si>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</si>
  <si>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</si>
  <si>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</si>
  <si>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</si>
  <si>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</si>
  <si>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</si>
  <si>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</si>
  <si>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</si>
  <si>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</si>
  <si>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</si>
  <si>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</si>
  <si>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</si>
  <si>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</si>
  <si>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</si>
  <si>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</si>
  <si>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</si>
  <si>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</si>
  <si>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</si>
  <si>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</si>
  <si>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</si>
  <si>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</si>
  <si>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</si>
  <si>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</si>
  <si>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</si>
  <si>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</si>
  <si>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</si>
  <si>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</si>
  <si>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</si>
  <si>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</si>
  <si>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</si>
  <si>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</si>
  <si>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</si>
  <si>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</si>
  <si>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</si>
  <si>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</si>
  <si>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</si>
  <si>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</si>
  <si>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</si>
  <si>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</si>
  <si>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</si>
  <si>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</si>
  <si>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</si>
  <si>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</si>
  <si>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</si>
  <si>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</si>
  <si>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</si>
  <si>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</si>
  <si>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</si>
  <si>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</si>
  <si>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</si>
  <si>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</si>
  <si>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</si>
  <si>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</si>
  <si>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</si>
  <si>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</si>
  <si>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</si>
  <si>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</si>
  <si>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</si>
  <si>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</si>
  <si>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</si>
  <si>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</si>
  <si>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</si>
  <si>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</si>
  <si>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</si>
  <si>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</si>
  <si>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</si>
  <si>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</si>
  <si>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</si>
  <si>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</si>
  <si>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</si>
  <si>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</si>
  <si>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</si>
  <si>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</si>
  <si>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</si>
  <si>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</si>
  <si>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</si>
  <si>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</si>
  <si>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</si>
  <si>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</si>
  <si>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</si>
  <si>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</si>
  <si>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</si>
  <si>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</si>
  <si>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</si>
  <si>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</si>
  <si>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</si>
  <si>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</si>
  <si>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</si>
  <si>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</si>
  <si>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</si>
  <si>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</si>
  <si>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</si>
  <si>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</si>
  <si>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</si>
  <si>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</si>
  <si>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</si>
  <si>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</si>
  <si>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</si>
  <si>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</si>
  <si>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</si>
  <si>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</si>
  <si>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</si>
  <si>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</si>
  <si>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</si>
  <si>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</si>
  <si>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</si>
  <si>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</si>
  <si>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</si>
  <si>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</si>
  <si>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</si>
  <si>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</si>
  <si>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</si>
  <si>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</si>
  <si>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</si>
  <si>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</si>
  <si>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</si>
  <si>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</si>
  <si>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</si>
  <si>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</si>
  <si>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</si>
  <si>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</si>
  <si>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</si>
  <si>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</si>
  <si>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</si>
  <si>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</si>
  <si>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</si>
  <si>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</si>
  <si>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</si>
  <si>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</si>
  <si>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</si>
  <si>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</si>
  <si>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</si>
  <si>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</si>
  <si>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</si>
  <si>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</si>
  <si>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</si>
  <si>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</si>
  <si>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</si>
  <si>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</si>
  <si>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</si>
  <si>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</si>
  <si>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</si>
  <si>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</si>
  <si>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</si>
  <si>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</si>
  <si>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</si>
  <si>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</si>
  <si>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</si>
  <si>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</si>
  <si>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</si>
  <si>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</si>
  <si>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</si>
  <si>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</si>
  <si>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</si>
  <si>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</si>
  <si>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</si>
  <si>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</si>
  <si>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</si>
  <si>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</si>
  <si>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</si>
  <si>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</si>
  <si>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</si>
  <si>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</si>
  <si>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</si>
  <si>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</si>
  <si>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</si>
  <si>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</si>
  <si>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</si>
  <si>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</si>
  <si>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</si>
  <si>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</si>
  <si>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</si>
  <si>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</si>
  <si>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</si>
  <si>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</si>
  <si>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</si>
  <si>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</si>
  <si>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</si>
  <si>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</si>
  <si>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</si>
  <si>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</si>
  <si>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</si>
  <si>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</si>
  <si>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</si>
  <si>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</si>
  <si>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</si>
  <si>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</si>
  <si>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</si>
  <si>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</si>
  <si>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</si>
  <si>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</si>
  <si>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</si>
  <si>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</si>
  <si>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</si>
  <si>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</si>
  <si>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</si>
  <si>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</si>
  <si>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</si>
  <si>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</si>
  <si>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</si>
  <si>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</si>
  <si>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</si>
  <si>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</si>
  <si>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</si>
  <si>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</si>
  <si>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</si>
  <si>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</si>
  <si>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</si>
  <si>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</si>
  <si>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</si>
  <si>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</si>
  <si>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</si>
  <si>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</si>
  <si>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</si>
  <si>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</si>
  <si>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</si>
  <si>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</si>
  <si>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</si>
  <si>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</si>
  <si>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</si>
  <si>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</si>
  <si>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</si>
  <si>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</si>
  <si>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</si>
  <si>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</si>
  <si>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</si>
  <si>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</si>
  <si>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</si>
  <si>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</si>
  <si>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</si>
  <si>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</si>
  <si>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</si>
  <si>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</si>
  <si>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</si>
  <si>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</si>
  <si>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</si>
  <si>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</si>
  <si>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</si>
  <si>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</si>
  <si>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</si>
  <si>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</si>
  <si>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</si>
  <si>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</si>
  <si>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</si>
  <si>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</si>
  <si>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</si>
  <si>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</si>
  <si>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</si>
  <si>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</si>
  <si>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</si>
  <si>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</si>
  <si>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</si>
  <si>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</si>
  <si>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</si>
  <si>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</si>
  <si>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</si>
  <si>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</si>
  <si>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</si>
  <si>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</si>
  <si>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</si>
  <si>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</si>
  <si>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</si>
  <si>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</si>
  <si>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</si>
  <si>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</si>
  <si>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</si>
  <si>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</si>
  <si>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</si>
  <si>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</si>
  <si>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</si>
  <si>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</si>
  <si>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</si>
  <si>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</si>
  <si>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</si>
  <si>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</si>
  <si>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</si>
  <si>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</si>
  <si>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</si>
  <si>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</si>
  <si>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</si>
  <si>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</si>
  <si>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</si>
  <si>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</si>
  <si>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</si>
  <si>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</si>
  <si>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</si>
  <si>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</si>
  <si>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</si>
  <si>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</si>
  <si>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</si>
  <si>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</si>
  <si>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</si>
  <si>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</si>
  <si>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</si>
  <si>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</si>
  <si>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</si>
  <si>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</si>
  <si>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</si>
  <si>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</si>
  <si>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</si>
  <si>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</si>
  <si>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</si>
  <si>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</si>
  <si>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</si>
  <si>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</si>
  <si>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</si>
  <si>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</si>
  <si>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</si>
  <si>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</si>
  <si>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</si>
  <si>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</si>
  <si>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</si>
  <si>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</si>
  <si>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</si>
  <si>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</si>
  <si>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</si>
  <si>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</si>
  <si>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</si>
  <si>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</si>
  <si>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</si>
  <si>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</si>
  <si>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</si>
  <si>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</si>
  <si>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</si>
  <si>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</si>
  <si>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</si>
  <si>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</si>
  <si>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</si>
  <si>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</si>
  <si>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</si>
  <si>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</si>
  <si>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</si>
  <si>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</si>
  <si>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</si>
  <si>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</si>
  <si>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</si>
  <si>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</si>
  <si>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</si>
  <si>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</si>
  <si>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</si>
  <si>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</si>
  <si>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</si>
  <si>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</si>
  <si>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</si>
  <si>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</si>
  <si>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</si>
  <si>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</si>
  <si>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</si>
  <si>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</si>
  <si>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</si>
  <si>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</si>
  <si>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</si>
  <si>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</si>
  <si>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</si>
  <si>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</si>
  <si>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</si>
  <si>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</si>
  <si>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</si>
  <si>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</si>
  <si>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</si>
  <si>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</si>
  <si>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</si>
  <si>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</si>
  <si>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</si>
  <si>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</si>
  <si>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</si>
  <si>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</si>
  <si>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</si>
  <si>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</si>
  <si>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</si>
  <si>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</si>
  <si>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</si>
  <si>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</si>
  <si>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</si>
  <si>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</si>
  <si>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</si>
  <si>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</si>
  <si>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</si>
  <si>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</si>
  <si>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</si>
  <si>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</si>
  <si>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</si>
  <si>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</si>
  <si>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</si>
  <si>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</si>
  <si>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</si>
  <si>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</si>
  <si>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</si>
  <si>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</si>
  <si>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</si>
  <si>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</si>
  <si>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</si>
  <si>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</si>
  <si>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</si>
  <si>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</si>
  <si>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</si>
  <si>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</si>
  <si>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</si>
  <si>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</si>
  <si>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</si>
  <si>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</si>
  <si>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</si>
  <si>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</si>
  <si>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</si>
  <si>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</si>
  <si>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</si>
  <si>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</si>
  <si>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</si>
  <si>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</si>
  <si>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</si>
  <si>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</si>
  <si>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</si>
  <si>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</si>
  <si>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</si>
  <si>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</si>
  <si>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</si>
  <si>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</si>
  <si>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</si>
  <si>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</si>
  <si>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</si>
  <si>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</si>
  <si>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</si>
  <si>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</si>
  <si>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</si>
  <si>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</si>
  <si>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</si>
  <si>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</si>
  <si>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</si>
  <si>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</si>
  <si>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</si>
  <si>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</si>
  <si>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</si>
  <si>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</si>
  <si>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</si>
  <si>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</si>
  <si>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</si>
  <si>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</si>
  <si>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</si>
  <si>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</si>
  <si>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</si>
  <si>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</si>
  <si>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</si>
  <si>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</si>
  <si>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</si>
  <si>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</si>
  <si>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</si>
  <si>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</si>
  <si>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</si>
  <si>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</si>
  <si>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</si>
  <si>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</si>
  <si>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</si>
  <si>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</si>
  <si>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</si>
  <si>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</si>
  <si>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</si>
  <si>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</si>
  <si>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</si>
  <si>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</si>
  <si>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</si>
  <si>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</si>
  <si>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</si>
  <si>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</si>
  <si>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</si>
  <si>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</si>
  <si>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</si>
  <si>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</si>
  <si>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</si>
  <si>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</si>
  <si>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</si>
  <si>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</si>
  <si>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</si>
  <si>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</si>
  <si>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</si>
  <si>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</si>
  <si>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</si>
  <si>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</si>
  <si>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</si>
  <si>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</si>
  <si>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</si>
  <si>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</si>
  <si>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</si>
  <si>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</si>
  <si>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</si>
  <si>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</si>
  <si>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</si>
  <si>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</si>
  <si>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</si>
  <si>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</si>
  <si>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</si>
  <si>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</si>
  <si>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</si>
  <si>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</si>
  <si>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</si>
  <si>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</si>
  <si>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</si>
  <si>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</si>
  <si>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</si>
  <si>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</si>
  <si>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</si>
  <si>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</si>
  <si>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</si>
  <si>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</si>
  <si>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</si>
  <si>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</si>
  <si>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</si>
  <si>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</si>
  <si>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</si>
  <si>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</si>
  <si>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</si>
  <si>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</si>
  <si>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</si>
  <si>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</si>
  <si>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</si>
  <si>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</si>
  <si>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</si>
  <si>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</si>
  <si>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</si>
  <si>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</si>
  <si>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</si>
  <si>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</si>
  <si>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</si>
  <si>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</si>
  <si>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</si>
  <si>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</si>
  <si>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</si>
  <si>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</si>
  <si>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</si>
  <si>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</si>
  <si>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</si>
  <si>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</si>
  <si>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</si>
  <si>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</si>
  <si>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</si>
  <si>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</si>
  <si>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</si>
  <si>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</si>
  <si>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</si>
  <si>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</si>
  <si>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</si>
  <si>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</si>
  <si>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</si>
  <si>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</si>
  <si>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</si>
  <si>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</si>
  <si>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</si>
  <si>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</si>
  <si>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</si>
  <si>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</si>
  <si>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</si>
  <si>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</si>
  <si>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</si>
  <si>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</si>
  <si>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</si>
  <si>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</si>
  <si>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</si>
  <si>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</si>
  <si>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</si>
  <si>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</si>
  <si>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</si>
  <si>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</si>
  <si>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</si>
  <si>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</si>
  <si>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</si>
  <si>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</si>
  <si>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</si>
  <si>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</si>
  <si>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</si>
  <si>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</si>
  <si>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</si>
  <si>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</si>
  <si>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</si>
  <si>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</si>
  <si>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</si>
  <si>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</si>
  <si>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</si>
  <si>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</si>
  <si>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</si>
  <si>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</si>
  <si>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</si>
  <si>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</si>
  <si>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</si>
  <si>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</si>
  <si>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</si>
  <si>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</si>
  <si>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</si>
  <si>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</si>
  <si>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</si>
  <si>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</si>
  <si>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</si>
  <si>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</si>
  <si>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</si>
  <si>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</si>
  <si>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</si>
  <si>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</si>
  <si>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</si>
  <si>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</si>
  <si>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</si>
  <si>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</si>
  <si>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</si>
  <si>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</si>
  <si>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</si>
  <si>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</si>
  <si>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</si>
  <si>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</si>
  <si>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</si>
  <si>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</si>
  <si>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</si>
  <si>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</si>
  <si>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</si>
  <si>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</si>
  <si>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</si>
  <si>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</si>
  <si>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</si>
  <si>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</si>
  <si>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</si>
  <si>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</si>
  <si>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</si>
  <si>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</si>
  <si>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</si>
  <si>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</si>
  <si>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</si>
  <si>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</si>
  <si>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</si>
  <si>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</si>
  <si>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</si>
  <si>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</si>
  <si>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</si>
  <si>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</si>
  <si>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</si>
  <si>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</si>
  <si>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</si>
  <si>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</si>
  <si>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</si>
  <si>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</si>
  <si>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</si>
  <si>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</si>
  <si>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</si>
  <si>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</si>
  <si>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</si>
  <si>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</si>
  <si>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</si>
  <si>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</si>
  <si>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</si>
  <si>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</si>
  <si>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</si>
  <si>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</si>
  <si>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</si>
  <si>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</si>
  <si>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</si>
  <si>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</si>
  <si>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</si>
  <si>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</si>
  <si>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</si>
  <si>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</si>
  <si>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</si>
  <si>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</si>
  <si>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</si>
  <si>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</si>
  <si>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</si>
  <si>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</si>
  <si>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</si>
  <si>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</si>
  <si>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</si>
  <si>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</si>
  <si>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</si>
  <si>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</si>
  <si>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</si>
  <si>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</si>
  <si>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</si>
  <si>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</si>
  <si>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</si>
  <si>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</si>
  <si>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</si>
  <si>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</si>
  <si>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</si>
  <si>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</si>
  <si>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</si>
  <si>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</si>
  <si>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</si>
  <si>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</si>
  <si>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</si>
  <si>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</si>
  <si>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</si>
  <si>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</si>
  <si>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</si>
  <si>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</si>
  <si>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</si>
  <si>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</si>
  <si>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</si>
  <si>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</si>
  <si>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</si>
  <si>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</si>
  <si>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</si>
  <si>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</si>
  <si>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</si>
  <si>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</si>
  <si>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</si>
  <si>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</si>
  <si>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</si>
  <si>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</si>
  <si>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</si>
  <si>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</si>
  <si>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</si>
  <si>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</si>
  <si>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</si>
  <si>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</si>
  <si>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</si>
  <si>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</si>
  <si>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</si>
  <si>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</si>
  <si>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</si>
  <si>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</si>
  <si>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</si>
  <si>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</si>
  <si>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</si>
  <si>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</si>
  <si>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</si>
  <si>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</si>
  <si>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</si>
  <si>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</si>
  <si>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</si>
  <si>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</si>
  <si>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</si>
  <si>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</si>
  <si>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</si>
  <si>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</si>
  <si>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</si>
  <si>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</si>
  <si>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</si>
  <si>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</si>
  <si>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</si>
  <si>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</si>
  <si>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</si>
  <si>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</si>
  <si>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</si>
  <si>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</si>
  <si>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</si>
  <si>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</si>
  <si>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</si>
  <si>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</si>
  <si>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</si>
  <si>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</si>
  <si>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</si>
  <si>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</si>
  <si>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</si>
  <si>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</si>
  <si>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</si>
  <si>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</si>
  <si>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</si>
  <si>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</si>
  <si>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</si>
  <si>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</si>
  <si>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</si>
  <si>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</si>
  <si>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</si>
  <si>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</si>
  <si>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</si>
  <si>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</si>
  <si>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</si>
  <si>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</si>
  <si>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</si>
  <si>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</si>
  <si>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</si>
  <si>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</si>
  <si>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</si>
  <si>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</si>
  <si>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</si>
  <si>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</si>
  <si>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</si>
  <si>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</si>
  <si>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</si>
  <si>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</si>
  <si>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</si>
  <si>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</si>
  <si>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</si>
  <si>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</si>
  <si>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</si>
  <si>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</si>
  <si>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</si>
  <si>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</si>
  <si>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</si>
  <si>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</si>
  <si>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</si>
  <si>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</si>
  <si>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</si>
  <si>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</si>
  <si>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</si>
  <si>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</si>
  <si>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</si>
  <si>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</si>
  <si>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</si>
  <si>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</si>
  <si>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</si>
  <si>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</si>
  <si>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</si>
  <si>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</si>
  <si>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</si>
  <si>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</si>
  <si>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</si>
  <si>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</si>
  <si>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</si>
  <si>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</si>
  <si>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</si>
  <si>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</si>
  <si>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</si>
  <si>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</si>
  <si>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</si>
  <si>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</si>
  <si>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</si>
  <si>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</si>
  <si>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</si>
  <si>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</si>
  <si>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</si>
  <si>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</si>
  <si>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</si>
  <si>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</si>
  <si>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</si>
  <si>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</si>
  <si>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</si>
  <si>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</si>
  <si>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</si>
  <si>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</si>
  <si>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</si>
  <si>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</si>
  <si>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</si>
  <si>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</si>
  <si>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</si>
  <si>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</si>
  <si>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</si>
  <si>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</si>
  <si>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</si>
  <si>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</si>
  <si>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</si>
  <si>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</si>
  <si>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</si>
  <si>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</si>
  <si>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</si>
  <si>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</si>
  <si>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</si>
  <si>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</si>
  <si>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</si>
  <si>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</si>
  <si>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</si>
  <si>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</si>
  <si>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</si>
  <si>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</si>
  <si>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</si>
  <si>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</si>
  <si>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</si>
  <si>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</si>
  <si>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</si>
  <si>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</si>
  <si>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</si>
  <si>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</si>
  <si>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</si>
  <si>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</si>
  <si>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</si>
  <si>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</si>
  <si>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</si>
  <si>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</si>
  <si>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</si>
  <si>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</si>
  <si>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</si>
  <si>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</si>
  <si>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</si>
  <si>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</si>
  <si>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</si>
  <si>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</si>
  <si>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</si>
  <si>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</si>
  <si>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</si>
  <si>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</si>
  <si>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</si>
  <si>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</si>
  <si>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</si>
  <si>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</si>
  <si>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</si>
  <si>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</si>
  <si>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</si>
  <si>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</si>
  <si>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</si>
  <si>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</si>
  <si>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</si>
  <si>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</si>
  <si>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</si>
  <si>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</si>
  <si>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</si>
  <si>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</si>
  <si>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</si>
  <si>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</si>
  <si>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</si>
  <si>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</si>
  <si>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</si>
  <si>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</si>
  <si>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</si>
  <si>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</si>
  <si>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</si>
  <si>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</si>
  <si>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</si>
  <si>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</si>
  <si>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</si>
  <si>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</si>
  <si>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</si>
  <si>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</si>
  <si>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</si>
  <si>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</si>
  <si>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</si>
  <si>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</si>
  <si>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</si>
  <si>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</si>
  <si>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</si>
  <si>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</si>
  <si>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</si>
  <si>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</si>
  <si>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</si>
  <si>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</si>
  <si>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</si>
  <si>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</si>
  <si>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</si>
  <si>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</si>
  <si>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</si>
  <si>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</si>
  <si>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</si>
  <si>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</si>
  <si>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</si>
  <si>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</si>
  <si>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</si>
  <si>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</si>
  <si>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</si>
  <si>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</si>
  <si>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</si>
  <si>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</si>
  <si>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</si>
  <si>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</si>
  <si>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</si>
  <si>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</si>
  <si>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</si>
  <si>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</si>
  <si>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</si>
  <si>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</si>
  <si>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</si>
  <si>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</si>
  <si>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</si>
  <si>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</si>
  <si>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</si>
  <si>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</si>
  <si>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</si>
  <si>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</si>
  <si>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</si>
  <si>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</si>
  <si>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</si>
  <si>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</si>
  <si>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</si>
  <si>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</si>
  <si>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</si>
  <si>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</si>
  <si>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</si>
  <si>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</si>
  <si>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</si>
  <si>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</si>
  <si>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</si>
  <si>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</si>
  <si>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</si>
  <si>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</si>
  <si>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</si>
  <si>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</si>
  <si>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</si>
  <si>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</si>
  <si>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</si>
  <si>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</si>
  <si>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</si>
  <si>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</si>
  <si>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</si>
  <si>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</si>
  <si>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</si>
  <si>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</si>
  <si>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</si>
  <si>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</si>
  <si>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</si>
  <si>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</si>
  <si>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</si>
  <si>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</si>
  <si>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</si>
  <si>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</si>
  <si>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</si>
  <si>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</si>
  <si>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</si>
  <si>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</si>
  <si>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</si>
  <si>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</si>
  <si>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</si>
  <si>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</si>
  <si>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</si>
  <si>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</si>
  <si>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</si>
  <si>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</si>
  <si>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</si>
  <si>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</si>
  <si>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</si>
  <si>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</si>
  <si>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</si>
  <si>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</si>
  <si>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</si>
  <si>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</si>
  <si>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</si>
  <si>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</si>
  <si>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</si>
  <si>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</si>
  <si>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</si>
  <si>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</si>
  <si>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</si>
  <si>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</si>
  <si>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</si>
  <si>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</si>
  <si>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</si>
  <si>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</si>
  <si>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</si>
  <si>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</si>
  <si>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</si>
  <si>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</si>
  <si>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</si>
  <si>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</si>
  <si>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</si>
  <si>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</si>
  <si>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</si>
  <si>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</si>
  <si>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</si>
  <si>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</si>
  <si>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</si>
  <si>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</si>
  <si>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</si>
  <si>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</si>
  <si>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</si>
  <si>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</si>
  <si>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</si>
  <si>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</si>
  <si>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</si>
  <si>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</si>
  <si>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</si>
  <si>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</si>
  <si>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</si>
  <si>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</si>
  <si>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</si>
  <si>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</si>
  <si>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</si>
  <si>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</si>
  <si>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</si>
  <si>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</si>
  <si>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</si>
  <si>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</si>
  <si>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</si>
  <si>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</si>
  <si>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</si>
  <si>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</si>
  <si>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</si>
  <si>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</si>
  <si>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</si>
  <si>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</si>
  <si>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</si>
  <si>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</si>
  <si>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</si>
  <si>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</si>
  <si>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</si>
  <si>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</si>
  <si>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</si>
  <si>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</si>
  <si>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</si>
  <si>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</si>
  <si>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</si>
  <si>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</si>
  <si>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</si>
  <si>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</si>
  <si>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</si>
  <si>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</si>
  <si>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</si>
  <si>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</si>
  <si>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</si>
  <si>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</si>
  <si>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</si>
  <si>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</si>
  <si>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</si>
  <si>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</si>
  <si>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</si>
  <si>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</si>
  <si>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</si>
  <si>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</si>
  <si>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</si>
  <si>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</si>
  <si>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</si>
  <si>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</si>
  <si>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</si>
  <si>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</si>
  <si>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</si>
  <si>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</si>
  <si>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</si>
  <si>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</si>
  <si>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</si>
  <si>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</si>
  <si>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</si>
  <si>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</si>
  <si>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</si>
  <si>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</si>
  <si>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</si>
  <si>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</si>
  <si>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</si>
  <si>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</si>
  <si>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</si>
  <si>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</si>
  <si>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</si>
  <si>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</si>
  <si>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</si>
  <si>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</si>
  <si>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</si>
  <si>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</si>
  <si>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</si>
  <si>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</si>
  <si>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</si>
  <si>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</si>
  <si>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</si>
  <si>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</si>
  <si>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</si>
  <si>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</si>
  <si>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</si>
  <si>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</si>
  <si>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</si>
  <si>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</si>
  <si>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</si>
  <si>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</si>
  <si>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</si>
  <si>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</si>
  <si>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</si>
  <si>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</si>
  <si>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</si>
  <si>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</si>
  <si>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</si>
  <si>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</si>
  <si>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</si>
  <si>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</si>
  <si>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</si>
  <si>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</si>
  <si>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</si>
  <si>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</si>
  <si>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</si>
  <si>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</si>
  <si>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</si>
  <si>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</si>
  <si>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</si>
  <si>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</si>
  <si>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</si>
  <si>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</si>
  <si>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</si>
  <si>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</si>
  <si>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</si>
  <si>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</si>
  <si>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</si>
  <si>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</si>
  <si>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</si>
  <si>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</si>
  <si>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</si>
  <si>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</si>
  <si>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</si>
  <si>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</si>
  <si>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</si>
  <si>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</si>
  <si>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</si>
  <si>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</si>
  <si>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</si>
  <si>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</si>
  <si>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</si>
  <si>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</si>
  <si>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</si>
  <si>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</si>
  <si>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</si>
  <si>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</si>
  <si>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</si>
  <si>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</si>
  <si>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</si>
  <si>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</si>
  <si>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</si>
  <si>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</si>
  <si>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</si>
  <si>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</si>
  <si>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</si>
  <si>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</si>
  <si>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</si>
  <si>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</si>
  <si>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</si>
  <si>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</si>
  <si>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</si>
  <si>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</si>
  <si>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</si>
  <si>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</si>
  <si>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</si>
  <si>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</si>
  <si>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</si>
  <si>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</si>
  <si>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</si>
  <si>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</si>
  <si>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</si>
  <si>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</si>
  <si>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</si>
  <si>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</si>
  <si>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</si>
  <si>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</si>
  <si>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</si>
  <si>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</si>
  <si>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</si>
  <si>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</si>
  <si>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</si>
  <si>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</si>
  <si>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</si>
  <si>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</si>
  <si>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</si>
  <si>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</si>
  <si>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</si>
  <si>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</si>
  <si>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</si>
  <si>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</si>
  <si>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</si>
  <si>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</si>
  <si>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</si>
  <si>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</si>
  <si>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</si>
  <si>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</si>
  <si>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</si>
  <si>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</si>
  <si>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</si>
  <si>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</si>
  <si>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</si>
  <si>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</si>
  <si>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</si>
  <si>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</si>
  <si>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</si>
  <si>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</si>
  <si>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</si>
  <si>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</si>
  <si>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</si>
  <si>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</si>
  <si>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</si>
  <si>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</si>
  <si>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</si>
  <si>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</si>
  <si>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</si>
  <si>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</si>
  <si>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</si>
  <si>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</si>
  <si>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</si>
  <si>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</si>
  <si>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</si>
  <si>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</si>
  <si>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</si>
  <si>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</si>
  <si>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</si>
  <si>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</si>
  <si>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</si>
  <si>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</si>
  <si>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</si>
  <si>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</si>
  <si>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</si>
  <si>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</si>
  <si>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</si>
  <si>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</si>
  <si>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</si>
  <si>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</si>
  <si>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</si>
  <si>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</si>
  <si>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</si>
  <si>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</si>
  <si>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</si>
  <si>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</si>
  <si>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</si>
  <si>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</si>
  <si>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</si>
  <si>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</si>
  <si>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</si>
  <si>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</si>
  <si>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</si>
  <si>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</si>
  <si>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</si>
  <si>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</si>
  <si>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</si>
  <si>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</si>
  <si>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</si>
  <si>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</si>
  <si>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</si>
  <si>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</si>
  <si>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</si>
  <si>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</si>
  <si>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</si>
  <si>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</si>
  <si>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</si>
  <si>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</si>
  <si>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</si>
  <si>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</si>
  <si>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</si>
  <si>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</si>
  <si>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</si>
  <si>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</si>
  <si>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</si>
  <si>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</si>
  <si>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</si>
  <si>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</si>
  <si>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</si>
  <si>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</si>
  <si>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</si>
  <si>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</si>
  <si>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</si>
  <si>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</si>
  <si>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</si>
  <si>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</si>
  <si>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</si>
  <si>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</si>
  <si>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</si>
  <si>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</si>
  <si>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</si>
  <si>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</si>
  <si>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</si>
  <si>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</si>
  <si>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</si>
  <si>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</si>
  <si>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</si>
  <si>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</si>
  <si>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</si>
  <si>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</si>
  <si>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</si>
  <si>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</si>
  <si>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</si>
  <si>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</si>
  <si>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</si>
  <si>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</si>
  <si>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</si>
  <si>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</si>
  <si>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</si>
  <si>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</si>
  <si>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</si>
  <si>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</si>
  <si>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</si>
  <si>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</si>
  <si>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</si>
  <si>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</si>
  <si>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</si>
  <si>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</si>
  <si>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</si>
  <si>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</si>
  <si>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</si>
  <si>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</si>
  <si>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</si>
  <si>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</si>
  <si>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</si>
  <si>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</si>
  <si>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</si>
  <si>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</si>
  <si>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</si>
  <si>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</si>
  <si>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</si>
  <si>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</si>
  <si>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</si>
  <si>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</si>
  <si>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</si>
  <si>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</si>
  <si>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</si>
  <si>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</si>
  <si>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</si>
  <si>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</si>
  <si>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</si>
  <si>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</si>
  <si>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</si>
  <si>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</si>
  <si>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</si>
  <si>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</si>
  <si>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</si>
  <si>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</si>
  <si>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</si>
  <si>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</si>
  <si>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</si>
  <si>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</si>
  <si>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</si>
  <si>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</si>
  <si>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</si>
  <si>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</si>
  <si>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</si>
  <si>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</si>
  <si>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</si>
  <si>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</si>
  <si>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</si>
  <si>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</si>
  <si>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</si>
  <si>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</si>
  <si>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</si>
  <si>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</si>
  <si>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</si>
  <si>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</si>
  <si>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</si>
  <si>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</si>
  <si>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</si>
  <si>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</si>
  <si>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</si>
  <si>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</si>
  <si>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</si>
  <si>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</si>
  <si>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</si>
  <si>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</si>
  <si>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</si>
  <si>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</si>
  <si>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</si>
  <si>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</si>
  <si>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</si>
  <si>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</si>
  <si>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</si>
  <si>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</si>
  <si>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</si>
  <si>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</si>
  <si>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</si>
  <si>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</si>
  <si>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</si>
  <si>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</si>
  <si>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</si>
  <si>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</si>
  <si>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</si>
  <si>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</si>
  <si>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</si>
  <si>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</si>
  <si>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</si>
  <si>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</si>
  <si>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</si>
  <si>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</si>
  <si>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</si>
  <si>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</si>
  <si>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</si>
  <si>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</si>
  <si>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</si>
  <si>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</si>
  <si>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</si>
  <si>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</si>
  <si>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</si>
  <si>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</si>
  <si>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</si>
  <si>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</si>
  <si>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</si>
  <si>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</si>
  <si>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</si>
  <si>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</si>
  <si>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</si>
  <si>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</si>
  <si>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</si>
  <si>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</si>
  <si>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</si>
  <si>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</si>
  <si>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</si>
  <si>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</si>
  <si>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</si>
  <si>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</si>
  <si>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</si>
  <si>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</si>
  <si>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</si>
  <si>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</si>
  <si>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</si>
  <si>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</si>
  <si>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</si>
  <si>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</si>
  <si>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</si>
  <si>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</si>
  <si>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</si>
  <si>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</si>
  <si>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</si>
  <si>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</si>
  <si>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</si>
  <si>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</si>
  <si>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</si>
  <si>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</si>
  <si>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</si>
  <si>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</si>
  <si>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</si>
  <si>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</si>
  <si>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</si>
  <si>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</si>
  <si>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</si>
  <si>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</si>
  <si>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</si>
  <si>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</si>
  <si>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</si>
  <si>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</si>
  <si>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</si>
  <si>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</si>
  <si>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</si>
  <si>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</si>
  <si>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</si>
  <si>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</si>
  <si>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</si>
  <si>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</si>
  <si>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</si>
  <si>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</si>
  <si>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</si>
  <si>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</si>
  <si>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</si>
  <si>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</si>
  <si>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</si>
  <si>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</si>
  <si>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</si>
  <si>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</si>
  <si>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</si>
  <si>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</si>
  <si>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</si>
  <si>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</si>
  <si>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</si>
  <si>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</si>
  <si>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</si>
  <si>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</si>
  <si>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</si>
  <si>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</si>
  <si>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</si>
  <si>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</si>
  <si>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</si>
  <si>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</si>
  <si>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</si>
  <si>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</si>
  <si>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</si>
  <si>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</si>
  <si>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</si>
  <si>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</si>
  <si>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</si>
  <si>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</si>
  <si>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</si>
  <si>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</si>
  <si>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</si>
  <si>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</si>
  <si>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</si>
  <si>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</si>
  <si>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</si>
  <si>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</si>
  <si>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</si>
  <si>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</si>
  <si>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</si>
  <si>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</si>
  <si>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</si>
  <si>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</si>
  <si>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</si>
  <si>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</si>
  <si>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</si>
  <si>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</si>
  <si>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</si>
  <si>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</si>
  <si>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</si>
  <si>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</si>
  <si>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</si>
  <si>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</si>
  <si>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</si>
  <si>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</si>
  <si>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</si>
  <si>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</si>
  <si>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</si>
  <si>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</si>
  <si>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</si>
  <si>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</si>
  <si>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</si>
  <si>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</si>
  <si>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</si>
  <si>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</si>
  <si>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</si>
  <si>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</si>
  <si>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</si>
  <si>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</si>
  <si>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</si>
  <si>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</si>
  <si>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</si>
  <si>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</si>
  <si>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</si>
  <si>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</si>
  <si>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</si>
  <si>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</si>
  <si>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</si>
  <si>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</si>
  <si>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</si>
  <si>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</si>
  <si>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</si>
  <si>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</si>
  <si>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</si>
  <si>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</si>
  <si>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</si>
  <si>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</si>
  <si>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</si>
  <si>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</si>
  <si>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</si>
  <si>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</si>
  <si>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</si>
  <si>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</si>
  <si>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</si>
  <si>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</si>
  <si>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</si>
  <si>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</si>
  <si>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</si>
  <si>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</si>
  <si>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</si>
  <si>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</si>
  <si>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</si>
  <si>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</si>
  <si>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</si>
  <si>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</si>
  <si>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</si>
  <si>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</si>
  <si>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</si>
  <si>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</si>
  <si>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</si>
  <si>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</si>
  <si>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</si>
  <si>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</si>
  <si>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</si>
  <si>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</si>
  <si>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</si>
  <si>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</si>
  <si>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</si>
  <si>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</si>
  <si>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</si>
  <si>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</si>
  <si>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</si>
  <si>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</si>
  <si>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</si>
  <si>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</si>
  <si>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</si>
  <si>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</si>
  <si>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</si>
  <si>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</si>
  <si>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</si>
  <si>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</si>
  <si>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</si>
  <si>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</si>
  <si>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</si>
  <si>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</si>
  <si>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</si>
  <si>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</si>
  <si>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</si>
  <si>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</si>
  <si>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</si>
  <si>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</si>
  <si>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</si>
  <si>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</si>
  <si>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</si>
  <si>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</si>
  <si>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</si>
  <si>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</si>
  <si>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</si>
  <si>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</si>
  <si>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</si>
  <si>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</si>
  <si>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</si>
  <si>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</si>
  <si>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</si>
  <si>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</si>
  <si>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</si>
  <si>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</si>
  <si>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</si>
  <si>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</si>
  <si>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</si>
  <si>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</si>
  <si>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</si>
  <si>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</si>
  <si>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</si>
  <si>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</si>
  <si>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</si>
  <si>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</si>
  <si>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</si>
  <si>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</si>
  <si>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</si>
  <si>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</si>
  <si>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</si>
  <si>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</si>
  <si>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</si>
  <si>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</si>
  <si>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</si>
  <si>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https://challengeleectronics.com/engineering/quality-management/eicc/?ceel=cmrt</t>
  </si>
  <si>
    <t>China Rare Metal Material Co., Ltd.</t>
  </si>
  <si>
    <t>KOREA (REPUBLIC OF)</t>
  </si>
  <si>
    <t>CID000244</t>
  </si>
  <si>
    <t>Jiangxi</t>
  </si>
  <si>
    <t>Geiju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</si>
</sst>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xf numFmtId="0" fontId="6" fillId="0" borderId="0"/>
  </cellStyleXfs>
  <cellXfs count="45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9" xfId="0" applyBorder="1" applyAlignment="1" applyProtection="1">
      <alignment horizontal="left" vertical="center" wrapText="1"/>
      <protection locked="0" hidden="1"/>
    </xf>
    <xf numFmtId="0" fontId="0" fillId="0" borderId="69" xfId="0" applyBorder="1" applyAlignment="1" applyProtection="1">
      <alignment horizontal="left" vertical="center" wrapText="1"/>
      <protection locked="0" hidden="1"/>
    </xf>
    <xf numFmtId="0" fontId="0" fillId="2" borderId="68" xfId="0" applyFont="1" applyFill="1"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5AA84592-0774-45A7-BEB9-284FE548FF89}"/>
    <cellStyle name="Normal 8 3" xfId="592" xr:uid="{5167B1D4-E2D7-40BB-ABA9-69ADB9B1BC5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5"/>
      <c r="B2" s="38" t="s">
        <v>963</v>
      </c>
      <c r="C2" s="36"/>
      <c r="D2" s="207"/>
      <c r="E2" s="3"/>
      <c r="F2" s="36"/>
      <c r="G2" s="34"/>
    </row>
    <row r="3" spans="1:7">
      <c r="A3" s="365"/>
      <c r="B3" s="5" t="s">
        <v>952</v>
      </c>
      <c r="C3" s="6"/>
      <c r="D3" s="208"/>
      <c r="E3" s="3"/>
      <c r="F3" s="6"/>
      <c r="G3" s="34"/>
    </row>
    <row r="4" spans="1:7" ht="15">
      <c r="A4" s="365"/>
      <c r="B4" s="41" t="s">
        <v>965</v>
      </c>
      <c r="C4" s="7"/>
      <c r="D4" s="209"/>
      <c r="E4" s="3"/>
      <c r="F4" s="7"/>
      <c r="G4" s="34"/>
    </row>
    <row r="5" spans="1:7">
      <c r="A5" s="365"/>
      <c r="B5" s="40" t="s">
        <v>1157</v>
      </c>
      <c r="C5" s="4"/>
      <c r="D5" s="210"/>
      <c r="E5" s="3"/>
      <c r="F5" s="4"/>
      <c r="G5" s="34"/>
    </row>
    <row r="6" spans="1:7">
      <c r="A6" s="365"/>
      <c r="B6" s="8"/>
      <c r="C6" s="8"/>
      <c r="D6" s="211"/>
      <c r="E6" s="8"/>
      <c r="F6" s="8"/>
      <c r="G6" s="34"/>
    </row>
    <row r="7" spans="1:7">
      <c r="A7" s="365"/>
      <c r="B7" s="8"/>
      <c r="C7" s="8"/>
      <c r="D7" s="211"/>
      <c r="E7" s="8"/>
      <c r="F7" s="8"/>
      <c r="G7" s="34"/>
    </row>
    <row r="8" spans="1:7">
      <c r="A8" s="365"/>
      <c r="B8" s="8"/>
      <c r="C8" s="8"/>
      <c r="D8" s="211"/>
      <c r="E8" s="8"/>
      <c r="F8" s="8"/>
      <c r="G8" s="34"/>
    </row>
    <row r="9" spans="1:7">
      <c r="A9" s="365"/>
      <c r="B9" s="368" t="s">
        <v>966</v>
      </c>
      <c r="C9" s="368"/>
      <c r="D9" s="368"/>
      <c r="E9" s="368"/>
      <c r="F9" s="368"/>
      <c r="G9" s="34"/>
    </row>
    <row r="10" spans="1:7" ht="27" customHeight="1">
      <c r="A10" s="365"/>
      <c r="B10" s="369" t="s">
        <v>506</v>
      </c>
      <c r="C10" s="369"/>
      <c r="D10" s="369"/>
      <c r="E10" s="369"/>
      <c r="F10" s="369"/>
      <c r="G10" s="34"/>
    </row>
    <row r="11" spans="1:7" ht="27" customHeight="1">
      <c r="A11" s="365"/>
      <c r="B11" s="370"/>
      <c r="C11" s="370"/>
      <c r="D11" s="370"/>
      <c r="E11" s="370"/>
      <c r="F11" s="370"/>
      <c r="G11" s="34"/>
    </row>
    <row r="12" spans="1:7">
      <c r="A12" s="365"/>
      <c r="B12" s="42" t="s">
        <v>964</v>
      </c>
      <c r="C12" s="43" t="s">
        <v>967</v>
      </c>
      <c r="D12" s="212" t="s">
        <v>968</v>
      </c>
      <c r="E12" s="43" t="s">
        <v>701</v>
      </c>
      <c r="F12" s="43" t="s">
        <v>702</v>
      </c>
      <c r="G12" s="34"/>
    </row>
    <row r="13" spans="1:7" ht="20">
      <c r="A13" s="365"/>
      <c r="B13" s="2">
        <v>1</v>
      </c>
      <c r="C13" s="37" t="s">
        <v>1208</v>
      </c>
      <c r="D13" s="39" t="s">
        <v>992</v>
      </c>
      <c r="E13" s="196" t="s">
        <v>969</v>
      </c>
      <c r="F13" s="196"/>
      <c r="G13" s="34"/>
    </row>
    <row r="14" spans="1:7" ht="30">
      <c r="A14" s="365"/>
      <c r="B14" s="2">
        <v>2</v>
      </c>
      <c r="C14" s="37" t="s">
        <v>1208</v>
      </c>
      <c r="D14" s="39" t="s">
        <v>1142</v>
      </c>
      <c r="E14" s="196" t="s">
        <v>602</v>
      </c>
      <c r="F14" s="196" t="s">
        <v>603</v>
      </c>
      <c r="G14" s="34"/>
    </row>
    <row r="15" spans="1:7" ht="89.15" customHeight="1">
      <c r="A15" s="365"/>
      <c r="B15" s="371">
        <v>2.0099999999999998</v>
      </c>
      <c r="C15" s="362" t="s">
        <v>1208</v>
      </c>
      <c r="D15" s="374" t="s">
        <v>2686</v>
      </c>
      <c r="E15" s="197" t="s">
        <v>703</v>
      </c>
      <c r="F15" s="197" t="s">
        <v>706</v>
      </c>
      <c r="G15" s="34"/>
    </row>
    <row r="16" spans="1:7" ht="99" customHeight="1">
      <c r="A16" s="365"/>
      <c r="B16" s="372"/>
      <c r="C16" s="363"/>
      <c r="D16" s="375"/>
      <c r="E16" s="198"/>
      <c r="F16" s="198" t="s">
        <v>704</v>
      </c>
      <c r="G16" s="34"/>
    </row>
    <row r="17" spans="1:7" ht="63" customHeight="1">
      <c r="A17" s="365"/>
      <c r="B17" s="373"/>
      <c r="C17" s="364"/>
      <c r="D17" s="376"/>
      <c r="E17" s="37"/>
      <c r="F17" s="37" t="s">
        <v>705</v>
      </c>
      <c r="G17" s="34"/>
    </row>
    <row r="18" spans="1:7" ht="117" customHeight="1">
      <c r="A18" s="365"/>
      <c r="B18" s="371">
        <v>2.02</v>
      </c>
      <c r="C18" s="362" t="s">
        <v>1208</v>
      </c>
      <c r="D18" s="374" t="s">
        <v>2687</v>
      </c>
      <c r="E18" s="197" t="s">
        <v>507</v>
      </c>
      <c r="F18" s="197" t="s">
        <v>596</v>
      </c>
      <c r="G18" s="34"/>
    </row>
    <row r="19" spans="1:7" ht="71.150000000000006" customHeight="1">
      <c r="A19" s="365"/>
      <c r="B19" s="372"/>
      <c r="C19" s="363"/>
      <c r="D19" s="375"/>
      <c r="E19" s="198" t="s">
        <v>601</v>
      </c>
      <c r="F19" s="198" t="s">
        <v>508</v>
      </c>
      <c r="G19" s="34"/>
    </row>
    <row r="20" spans="1:7" ht="90.75" customHeight="1">
      <c r="A20" s="365"/>
      <c r="B20" s="372"/>
      <c r="C20" s="363"/>
      <c r="D20" s="375"/>
      <c r="E20" s="198"/>
      <c r="F20" s="198" t="s">
        <v>708</v>
      </c>
      <c r="G20" s="34"/>
    </row>
    <row r="21" spans="1:7" ht="74.25" customHeight="1">
      <c r="A21" s="365"/>
      <c r="B21" s="373"/>
      <c r="C21" s="364"/>
      <c r="D21" s="376"/>
      <c r="E21" s="37"/>
      <c r="F21" s="37" t="s">
        <v>707</v>
      </c>
      <c r="G21" s="34"/>
    </row>
    <row r="22" spans="1:7" ht="90" customHeight="1">
      <c r="A22" s="365"/>
      <c r="B22" s="356">
        <v>2.0299999999999998</v>
      </c>
      <c r="C22" s="356" t="s">
        <v>935</v>
      </c>
      <c r="D22" s="359" t="s">
        <v>2688</v>
      </c>
      <c r="E22" s="362" t="s">
        <v>505</v>
      </c>
      <c r="F22" s="197" t="s">
        <v>529</v>
      </c>
      <c r="G22" s="34"/>
    </row>
    <row r="23" spans="1:7" ht="109.5" customHeight="1">
      <c r="A23" s="365"/>
      <c r="B23" s="357"/>
      <c r="C23" s="357"/>
      <c r="D23" s="360"/>
      <c r="E23" s="363"/>
      <c r="F23" s="198" t="s">
        <v>936</v>
      </c>
      <c r="G23" s="34"/>
    </row>
    <row r="24" spans="1:7" ht="74.25" customHeight="1">
      <c r="A24" s="365"/>
      <c r="B24" s="358"/>
      <c r="C24" s="358"/>
      <c r="D24" s="361"/>
      <c r="E24" s="364"/>
      <c r="F24" s="37" t="s">
        <v>504</v>
      </c>
      <c r="G24" s="34"/>
    </row>
    <row r="25" spans="1:7" ht="72" customHeight="1">
      <c r="A25" s="365"/>
      <c r="B25" s="2" t="s">
        <v>527</v>
      </c>
      <c r="C25" s="37" t="s">
        <v>528</v>
      </c>
      <c r="D25" s="39" t="s">
        <v>2689</v>
      </c>
      <c r="E25" s="37" t="s">
        <v>2682</v>
      </c>
      <c r="F25" s="37" t="s">
        <v>530</v>
      </c>
      <c r="G25" s="34"/>
    </row>
    <row r="26" spans="1:7" ht="98.15" customHeight="1">
      <c r="A26" s="365"/>
      <c r="B26" s="377">
        <v>3</v>
      </c>
      <c r="C26" s="371" t="s">
        <v>74</v>
      </c>
      <c r="D26" s="374" t="s">
        <v>2690</v>
      </c>
      <c r="E26" s="362" t="s">
        <v>0</v>
      </c>
      <c r="F26" s="197" t="s">
        <v>68</v>
      </c>
      <c r="G26" s="34"/>
    </row>
    <row r="27" spans="1:7" ht="90" customHeight="1">
      <c r="A27" s="365"/>
      <c r="B27" s="378"/>
      <c r="C27" s="372"/>
      <c r="D27" s="375"/>
      <c r="E27" s="363"/>
      <c r="F27" s="198" t="s">
        <v>63</v>
      </c>
      <c r="G27" s="34"/>
    </row>
    <row r="28" spans="1:7" ht="19.399999999999999" customHeight="1">
      <c r="A28" s="365"/>
      <c r="B28" s="378"/>
      <c r="C28" s="372"/>
      <c r="D28" s="375"/>
      <c r="E28" s="363"/>
      <c r="F28" s="198" t="s">
        <v>64</v>
      </c>
      <c r="G28" s="34"/>
    </row>
    <row r="29" spans="1:7" ht="74.5" customHeight="1">
      <c r="A29" s="365"/>
      <c r="B29" s="378"/>
      <c r="C29" s="372"/>
      <c r="D29" s="375"/>
      <c r="E29" s="363"/>
      <c r="F29" s="198" t="s">
        <v>65</v>
      </c>
      <c r="G29" s="34"/>
    </row>
    <row r="30" spans="1:7" ht="62.5" customHeight="1">
      <c r="A30" s="365"/>
      <c r="B30" s="378"/>
      <c r="C30" s="372"/>
      <c r="D30" s="375"/>
      <c r="E30" s="363"/>
      <c r="F30" s="198" t="s">
        <v>66</v>
      </c>
      <c r="G30" s="34"/>
    </row>
    <row r="31" spans="1:7" ht="81" customHeight="1">
      <c r="A31" s="365"/>
      <c r="B31" s="378"/>
      <c r="C31" s="372"/>
      <c r="D31" s="375"/>
      <c r="E31" s="363"/>
      <c r="F31" s="198" t="s">
        <v>67</v>
      </c>
      <c r="G31" s="34"/>
    </row>
    <row r="32" spans="1:7" ht="48.75" customHeight="1">
      <c r="A32" s="365"/>
      <c r="B32" s="378"/>
      <c r="C32" s="372"/>
      <c r="D32" s="375"/>
      <c r="E32" s="363"/>
      <c r="F32" s="198" t="s">
        <v>70</v>
      </c>
      <c r="G32" s="34"/>
    </row>
    <row r="33" spans="1:7" ht="98.5" customHeight="1">
      <c r="A33" s="365"/>
      <c r="B33" s="378"/>
      <c r="C33" s="372"/>
      <c r="D33" s="375"/>
      <c r="E33" s="363"/>
      <c r="F33" s="198" t="s">
        <v>69</v>
      </c>
      <c r="G33" s="34"/>
    </row>
    <row r="34" spans="1:7" ht="89.15" customHeight="1">
      <c r="A34" s="365"/>
      <c r="B34" s="378"/>
      <c r="C34" s="372"/>
      <c r="D34" s="375"/>
      <c r="E34" s="363"/>
      <c r="F34" s="198" t="s">
        <v>71</v>
      </c>
      <c r="G34" s="34"/>
    </row>
    <row r="35" spans="1:7" ht="29.15" customHeight="1">
      <c r="A35" s="365"/>
      <c r="B35" s="378"/>
      <c r="C35" s="372"/>
      <c r="D35" s="375"/>
      <c r="E35" s="363"/>
      <c r="F35" s="198" t="s">
        <v>72</v>
      </c>
      <c r="G35" s="34"/>
    </row>
    <row r="36" spans="1:7" ht="121">
      <c r="A36" s="365"/>
      <c r="B36" s="379"/>
      <c r="C36" s="373"/>
      <c r="D36" s="376"/>
      <c r="E36" s="364"/>
      <c r="F36" s="199" t="s">
        <v>73</v>
      </c>
      <c r="G36" s="34"/>
    </row>
    <row r="37" spans="1:7" ht="100">
      <c r="A37" s="365"/>
      <c r="B37" s="175">
        <v>3.01</v>
      </c>
      <c r="C37" s="176" t="s">
        <v>74</v>
      </c>
      <c r="D37" s="39" t="s">
        <v>2691</v>
      </c>
      <c r="E37" s="200" t="s">
        <v>1458</v>
      </c>
      <c r="F37" s="201" t="s">
        <v>1577</v>
      </c>
      <c r="G37" s="34"/>
    </row>
    <row r="38" spans="1:7" ht="90">
      <c r="A38" s="365"/>
      <c r="B38" s="175">
        <v>3.02</v>
      </c>
      <c r="C38" s="176" t="s">
        <v>1492</v>
      </c>
      <c r="D38" s="39" t="s">
        <v>2692</v>
      </c>
      <c r="E38" s="200" t="s">
        <v>1507</v>
      </c>
      <c r="F38" s="201" t="s">
        <v>1578</v>
      </c>
      <c r="G38" s="34"/>
    </row>
    <row r="39" spans="1:7" ht="80">
      <c r="A39" s="365"/>
      <c r="B39" s="184">
        <v>4</v>
      </c>
      <c r="C39" s="183" t="s">
        <v>1757</v>
      </c>
      <c r="D39" s="39" t="s">
        <v>2693</v>
      </c>
      <c r="E39" s="37" t="s">
        <v>2625</v>
      </c>
      <c r="F39" s="37" t="s">
        <v>1758</v>
      </c>
      <c r="G39" s="34"/>
    </row>
    <row r="40" spans="1:7" ht="50">
      <c r="A40" s="365"/>
      <c r="B40" s="175">
        <v>4.01</v>
      </c>
      <c r="C40" s="183" t="s">
        <v>1757</v>
      </c>
      <c r="D40" s="39" t="s">
        <v>2695</v>
      </c>
      <c r="E40" s="37" t="s">
        <v>2644</v>
      </c>
      <c r="F40" s="37" t="s">
        <v>2649</v>
      </c>
      <c r="G40" s="34"/>
    </row>
    <row r="41" spans="1:7" ht="50">
      <c r="A41" s="365"/>
      <c r="B41" s="175" t="s">
        <v>2680</v>
      </c>
      <c r="C41" s="183" t="s">
        <v>1757</v>
      </c>
      <c r="D41" s="39" t="s">
        <v>2694</v>
      </c>
      <c r="E41" s="37" t="s">
        <v>2683</v>
      </c>
      <c r="F41" s="37" t="s">
        <v>2681</v>
      </c>
      <c r="G41" s="34"/>
    </row>
    <row r="42" spans="1:7" ht="50">
      <c r="A42" s="365"/>
      <c r="B42" s="175" t="s">
        <v>2732</v>
      </c>
      <c r="C42" s="183" t="s">
        <v>1757</v>
      </c>
      <c r="D42" s="39" t="s">
        <v>2903</v>
      </c>
      <c r="E42" s="37" t="s">
        <v>2682</v>
      </c>
      <c r="F42" s="37" t="s">
        <v>2733</v>
      </c>
      <c r="G42" s="34"/>
    </row>
    <row r="43" spans="1:7" ht="110">
      <c r="A43" s="365"/>
      <c r="B43" s="193">
        <v>4.0999999999999996</v>
      </c>
      <c r="C43" s="183" t="s">
        <v>2902</v>
      </c>
      <c r="D43" s="194">
        <v>42867</v>
      </c>
      <c r="E43" s="202" t="s">
        <v>2905</v>
      </c>
      <c r="F43" s="37" t="s">
        <v>2904</v>
      </c>
      <c r="G43" s="34"/>
    </row>
    <row r="44" spans="1:7" ht="70">
      <c r="A44" s="365"/>
      <c r="B44" s="193">
        <v>4.2</v>
      </c>
      <c r="C44" s="183" t="s">
        <v>2902</v>
      </c>
      <c r="D44" s="194">
        <v>42704</v>
      </c>
      <c r="E44" s="202" t="s">
        <v>3155</v>
      </c>
      <c r="F44" s="37" t="s">
        <v>3120</v>
      </c>
      <c r="G44" s="34"/>
    </row>
    <row r="45" spans="1:7" ht="130">
      <c r="A45" s="365"/>
      <c r="B45" s="241">
        <v>5</v>
      </c>
      <c r="C45" s="183" t="s">
        <v>2902</v>
      </c>
      <c r="D45" s="194">
        <v>42867</v>
      </c>
      <c r="E45" s="202" t="s">
        <v>13730</v>
      </c>
      <c r="F45" s="37" t="s">
        <v>13315</v>
      </c>
      <c r="G45" s="34"/>
    </row>
    <row r="46" spans="1:7" ht="30">
      <c r="A46" s="365"/>
      <c r="B46" s="193">
        <v>5.01</v>
      </c>
      <c r="C46" s="183" t="s">
        <v>2902</v>
      </c>
      <c r="D46" s="194">
        <v>42907</v>
      </c>
      <c r="E46" s="202" t="s">
        <v>13786</v>
      </c>
      <c r="F46" s="37" t="s">
        <v>13315</v>
      </c>
      <c r="G46" s="34"/>
    </row>
    <row r="47" spans="1:7" ht="60">
      <c r="A47" s="365"/>
      <c r="B47" s="193">
        <v>5.0999999999999996</v>
      </c>
      <c r="C47" s="183" t="s">
        <v>2902</v>
      </c>
      <c r="D47" s="194">
        <v>43070</v>
      </c>
      <c r="E47" s="202" t="s">
        <v>13985</v>
      </c>
      <c r="F47" s="37" t="s">
        <v>13986</v>
      </c>
      <c r="G47" s="34"/>
    </row>
    <row r="48" spans="1:7" ht="50">
      <c r="A48" s="365"/>
      <c r="B48" s="193">
        <v>5.1100000000000003</v>
      </c>
      <c r="C48" s="183" t="s">
        <v>14260</v>
      </c>
      <c r="D48" s="194">
        <v>43217</v>
      </c>
      <c r="E48" s="202" t="s">
        <v>14404</v>
      </c>
      <c r="F48" s="37" t="s">
        <v>14299</v>
      </c>
      <c r="G48" s="34"/>
    </row>
    <row r="49" spans="1:7" ht="50">
      <c r="A49" s="365"/>
      <c r="B49" s="193">
        <v>5.12</v>
      </c>
      <c r="C49" s="183" t="s">
        <v>14260</v>
      </c>
      <c r="D49" s="194">
        <v>43581</v>
      </c>
      <c r="E49" s="202" t="s">
        <v>14404</v>
      </c>
      <c r="F49" s="37" t="s">
        <v>15467</v>
      </c>
      <c r="G49" s="34"/>
    </row>
    <row r="50" spans="1:7" ht="14" thickBot="1">
      <c r="A50" s="366"/>
      <c r="B50" s="367" t="str">
        <f ca="1">OFFSET(L!$C$1,MATCH("General"&amp;"Cpy",L!$A:$A,0)-1,SL,,)</f>
        <v>© 2019 Responsible Minerals Initiative. All rights reserved.</v>
      </c>
      <c r="C50" s="367"/>
      <c r="D50" s="367"/>
      <c r="E50" s="367"/>
      <c r="F50" s="367"/>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07421875"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0"/>
      <c r="B1" s="381"/>
      <c r="C1" s="381"/>
      <c r="D1" s="382"/>
    </row>
    <row r="2" spans="1:5" ht="71.25" customHeight="1">
      <c r="A2" s="90"/>
      <c r="B2" s="171" t="str">
        <f ca="1">OFFSET(L!$C$1,MATCH("Definitions"&amp;ADDRESS(ROW(),COLUMN(),4),L!$A:$A,0)-1,SL,,)</f>
        <v>ITEM</v>
      </c>
      <c r="C2" s="171" t="str">
        <f ca="1">OFFSET(L!$C$1,MATCH("Definitions"&amp;ADDRESS(ROW(),COLUMN(),4),L!$A:$A,0)-1,SL,,)</f>
        <v>DEFINITION</v>
      </c>
      <c r="D2" s="384"/>
      <c r="E2" s="131"/>
    </row>
    <row r="3" spans="1:5" ht="64" customHeight="1">
      <c r="A3" s="90"/>
      <c r="B3" s="77" t="str">
        <f ca="1">OFFSET(L!$C$1,MATCH("Definitions"&amp;ADDRESS(ROW(),COLUMN(),4),L!$A:$A,0)-1,SL,,)</f>
        <v>3TG</v>
      </c>
      <c r="C3" s="77" t="str">
        <f ca="1">OFFSET(L!$C$1,MATCH("Definitions"&amp;ADDRESS(ROW(),COLUMN(),4),L!$A:$A,0)-1,SL,,)</f>
        <v>Tantalum, tin, tungsten, gold</v>
      </c>
      <c r="D3" s="384"/>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4"/>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4"/>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4"/>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4"/>
      <c r="E8" s="132" t="s">
        <v>1443</v>
      </c>
    </row>
    <row r="9" spans="1:5" ht="45">
      <c r="A9" s="90"/>
      <c r="B9" s="77" t="str">
        <f ca="1">OFFSET(L!$C$1,MATCH("Definitions"&amp;ADDRESS(ROW(),COLUMN(),4),L!$A:$A,0)-1,SL,,)</f>
        <v>DRC</v>
      </c>
      <c r="C9" s="77" t="str">
        <f ca="1">OFFSET(L!$C$1,MATCH("Definitions"&amp;ADDRESS(ROW(),COLUMN(),4),L!$A:$A,0)-1,SL,,)</f>
        <v>Democratic Republic of Congo</v>
      </c>
      <c r="D9" s="384"/>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4"/>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4"/>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4"/>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4"/>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4"/>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4"/>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4"/>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4"/>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4"/>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4"/>
      <c r="E19" s="132"/>
    </row>
    <row r="20" spans="1:5" ht="15">
      <c r="A20" s="90"/>
      <c r="B20" s="77" t="str">
        <f ca="1">OFFSET(L!$C$1,MATCH("Definitions"&amp;ADDRESS(ROW(),COLUMN(),4),L!$A:$A,0)-1,SL,,)</f>
        <v>RBA</v>
      </c>
      <c r="C20" s="77" t="str">
        <f ca="1">OFFSET(L!$C$1,MATCH("Definitions"&amp;ADDRESS(ROW(),COLUMN(),4),L!$A:$A,0)-1,SL,,)</f>
        <v>Responsible Business Alliance (www.responsiblebusiness.org)</v>
      </c>
      <c r="D20" s="384"/>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4"/>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4"/>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4"/>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4"/>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4"/>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4"/>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4"/>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4"/>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4"/>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4"/>
      <c r="E30" s="132"/>
    </row>
    <row r="31" spans="1:5" ht="15">
      <c r="A31" s="90"/>
      <c r="B31" s="383" t="str">
        <f ca="1">OFFSET(L!$C$1,MATCH("General"&amp;"Cpy",L!$A:$A,0)-1,SL,,)</f>
        <v>© 2019 Responsible Minerals Initiative. All rights reserved.</v>
      </c>
      <c r="C31" s="383"/>
      <c r="D31" s="384"/>
      <c r="E31" s="132"/>
    </row>
    <row r="32" spans="1:5" ht="14" thickBot="1">
      <c r="A32" s="91"/>
      <c r="B32" s="187"/>
      <c r="C32" s="187"/>
      <c r="D32" s="385"/>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70" zoomScale="70" zoomScaleNormal="70" zoomScalePageLayoutView="70" workbookViewId="0">
      <selection activeCell="B114" sqref="B11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05"/>
      <c r="B1" s="406"/>
      <c r="C1" s="406"/>
      <c r="D1" s="406"/>
      <c r="E1" s="406"/>
      <c r="F1" s="406"/>
      <c r="G1" s="406"/>
      <c r="H1" s="406"/>
      <c r="I1" s="406"/>
      <c r="J1" s="406"/>
      <c r="K1" s="407"/>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08" t="str">
        <f ca="1">OFFSET(L!$C$1,MATCH("Declaration"&amp;ADDRESS(ROW(),COLUMN(),4),L!$A:$A,0)-1,SL,,)</f>
        <v>Conflict Minerals Reporting Template (CMRT)</v>
      </c>
      <c r="E2" s="409"/>
      <c r="F2" s="409"/>
      <c r="G2" s="409"/>
      <c r="H2" s="409"/>
      <c r="I2" s="409"/>
      <c r="J2" s="41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5"/>
      <c r="G3" s="415"/>
      <c r="H3" s="415"/>
      <c r="I3" s="186"/>
      <c r="J3" s="172" t="s">
        <v>15472</v>
      </c>
      <c r="K3" s="47"/>
      <c r="L3" s="143"/>
      <c r="M3" s="134"/>
      <c r="N3" s="134"/>
      <c r="O3" s="135"/>
      <c r="P3" s="148">
        <f>MATCH($D$3,LN,0)</f>
        <v>1</v>
      </c>
    </row>
    <row r="4" spans="1:34" ht="1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6" t="str">
        <f ca="1">OFFSET(L!$C$1,MATCH("Declaration"&amp;ADDRESS(ROW(),COLUMN(),4),L!$A:$A,0)-1,SL,,)</f>
        <v>Link to Terms &amp; Conditions</v>
      </c>
      <c r="J4" s="41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20" t="str">
        <f ca="1">OFFSET(L!$C$1,MATCH("Declaration"&amp;ADDRESS(ROW(),COLUMN(),4),L!$A:$A,0)-1,SL,,)</f>
        <v>Company Information</v>
      </c>
      <c r="C7" s="420"/>
      <c r="D7" s="420"/>
      <c r="E7" s="420"/>
      <c r="F7" s="420"/>
      <c r="G7" s="420"/>
      <c r="H7" s="420"/>
      <c r="I7" s="420"/>
      <c r="J7" s="420"/>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11" t="s">
        <v>15494</v>
      </c>
      <c r="E8" s="412"/>
      <c r="F8" s="412"/>
      <c r="G8" s="412"/>
      <c r="H8" s="412"/>
      <c r="I8" s="412"/>
      <c r="J8" s="413"/>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17" t="s">
        <v>564</v>
      </c>
      <c r="E9" s="418"/>
      <c r="F9" s="418"/>
      <c r="G9" s="41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21" t="str">
        <f ca="1">OFFSET(L!$C$1,MATCH("Declaration"&amp;ADDRESS(ROW(),COLUMN(),4)&amp;LEFT($D$9,1),L!$A:$A,0)-1,SL,,)</f>
        <v>Description of Scope:</v>
      </c>
      <c r="C10" s="155"/>
      <c r="D10" s="386" t="s">
        <v>15495</v>
      </c>
      <c r="E10" s="387"/>
      <c r="F10" s="387"/>
      <c r="G10" s="387"/>
      <c r="H10" s="387"/>
      <c r="I10" s="387"/>
      <c r="J10" s="38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22"/>
      <c r="C11" s="155"/>
      <c r="D11" s="431" t="str">
        <f ca="1">IF(D9=Q9,OFFSET(L!$C$1,MATCH("Declaration"&amp;ADDRESS(ROW(),COLUMN(),4),L!$A:$A,0)-1,SL,,),"")</f>
        <v/>
      </c>
      <c r="E11" s="432"/>
      <c r="F11" s="432"/>
      <c r="G11" s="432"/>
      <c r="H11" s="432"/>
      <c r="I11" s="432"/>
      <c r="J11" s="43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89" t="s">
        <v>15496</v>
      </c>
      <c r="E12" s="390"/>
      <c r="F12" s="390"/>
      <c r="G12" s="390"/>
      <c r="H12" s="390"/>
      <c r="I12" s="390"/>
      <c r="J12" s="39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89" t="s">
        <v>15497</v>
      </c>
      <c r="E13" s="390"/>
      <c r="F13" s="390"/>
      <c r="G13" s="390"/>
      <c r="H13" s="390"/>
      <c r="I13" s="390"/>
      <c r="J13" s="39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89" t="s">
        <v>15498</v>
      </c>
      <c r="E14" s="390"/>
      <c r="F14" s="390"/>
      <c r="G14" s="390"/>
      <c r="H14" s="390"/>
      <c r="I14" s="390"/>
      <c r="J14" s="39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89" t="s">
        <v>15499</v>
      </c>
      <c r="E15" s="390"/>
      <c r="F15" s="390"/>
      <c r="G15" s="390"/>
      <c r="H15" s="390"/>
      <c r="I15" s="390"/>
      <c r="J15" s="39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392" t="s">
        <v>15500</v>
      </c>
      <c r="E16" s="393"/>
      <c r="F16" s="393"/>
      <c r="G16" s="393"/>
      <c r="H16" s="393"/>
      <c r="I16" s="393"/>
      <c r="J16" s="39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9" t="s">
        <v>15501</v>
      </c>
      <c r="E17" s="390"/>
      <c r="F17" s="390"/>
      <c r="G17" s="390"/>
      <c r="H17" s="390"/>
      <c r="I17" s="390"/>
      <c r="J17" s="39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9" t="s">
        <v>15499</v>
      </c>
      <c r="E18" s="390"/>
      <c r="F18" s="390"/>
      <c r="G18" s="390"/>
      <c r="H18" s="390"/>
      <c r="I18" s="390"/>
      <c r="J18" s="39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9" t="s">
        <v>15502</v>
      </c>
      <c r="E19" s="390"/>
      <c r="F19" s="390"/>
      <c r="G19" s="390"/>
      <c r="H19" s="390"/>
      <c r="I19" s="390"/>
      <c r="J19" s="39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392" t="s">
        <v>15500</v>
      </c>
      <c r="E20" s="393"/>
      <c r="F20" s="393"/>
      <c r="G20" s="393"/>
      <c r="H20" s="393"/>
      <c r="I20" s="393"/>
      <c r="J20" s="39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9" t="s">
        <v>15501</v>
      </c>
      <c r="E21" s="390"/>
      <c r="F21" s="390"/>
      <c r="G21" s="390"/>
      <c r="H21" s="390"/>
      <c r="I21" s="390"/>
      <c r="J21" s="39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24">
        <v>43622</v>
      </c>
      <c r="E22" s="425"/>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8"/>
      <c r="E23" s="42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26" t="str">
        <f ca="1">OFFSET(L!$C$1,MATCH("Declaration"&amp;ADDRESS(ROW(),COLUMN(),4),L!$A:$A,0)-1,SL,,)</f>
        <v>Answer the following questions 1 - 7 based on the declaration scope indicated above</v>
      </c>
      <c r="C24" s="426"/>
      <c r="D24" s="426"/>
      <c r="E24" s="426"/>
      <c r="F24" s="426"/>
      <c r="G24" s="426"/>
      <c r="H24" s="426"/>
      <c r="I24" s="426"/>
      <c r="J24" s="426"/>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400" t="s">
        <v>558</v>
      </c>
      <c r="E26" s="401"/>
      <c r="F26" s="15"/>
      <c r="G26" s="397"/>
      <c r="H26" s="398"/>
      <c r="I26" s="398"/>
      <c r="J26" s="399"/>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400" t="s">
        <v>558</v>
      </c>
      <c r="E27" s="401"/>
      <c r="F27" s="15"/>
      <c r="G27" s="397"/>
      <c r="H27" s="398"/>
      <c r="I27" s="398"/>
      <c r="J27" s="399"/>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400" t="s">
        <v>558</v>
      </c>
      <c r="E28" s="401"/>
      <c r="F28" s="15"/>
      <c r="G28" s="397"/>
      <c r="H28" s="398"/>
      <c r="I28" s="398"/>
      <c r="J28" s="399"/>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400" t="s">
        <v>559</v>
      </c>
      <c r="E29" s="401"/>
      <c r="F29" s="15"/>
      <c r="G29" s="397"/>
      <c r="H29" s="398"/>
      <c r="I29" s="398"/>
      <c r="J29" s="399"/>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5" t="s">
        <v>558</v>
      </c>
      <c r="E32" s="396"/>
      <c r="F32" s="58"/>
      <c r="G32" s="397" t="s">
        <v>15503</v>
      </c>
      <c r="H32" s="398"/>
      <c r="I32" s="398"/>
      <c r="J32" s="399"/>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400" t="s">
        <v>558</v>
      </c>
      <c r="E33" s="401"/>
      <c r="F33" s="58"/>
      <c r="G33" s="397" t="s">
        <v>15504</v>
      </c>
      <c r="H33" s="398"/>
      <c r="I33" s="398"/>
      <c r="J33" s="399"/>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400" t="s">
        <v>558</v>
      </c>
      <c r="E34" s="401"/>
      <c r="F34" s="58"/>
      <c r="G34" s="397" t="s">
        <v>15504</v>
      </c>
      <c r="H34" s="398"/>
      <c r="I34" s="398"/>
      <c r="J34" s="399"/>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400" t="s">
        <v>559</v>
      </c>
      <c r="E35" s="401"/>
      <c r="F35" s="58"/>
      <c r="G35" s="397"/>
      <c r="H35" s="398"/>
      <c r="I35" s="398"/>
      <c r="J35" s="399"/>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27"/>
      <c r="I37" s="427"/>
      <c r="J37" s="427"/>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400" t="s">
        <v>559</v>
      </c>
      <c r="E38" s="401"/>
      <c r="F38" s="58"/>
      <c r="G38" s="397"/>
      <c r="H38" s="398"/>
      <c r="I38" s="398"/>
      <c r="J38" s="399"/>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400" t="s">
        <v>559</v>
      </c>
      <c r="E39" s="401"/>
      <c r="F39" s="58"/>
      <c r="G39" s="397"/>
      <c r="H39" s="398"/>
      <c r="I39" s="398"/>
      <c r="J39" s="399"/>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400" t="s">
        <v>559</v>
      </c>
      <c r="E40" s="401"/>
      <c r="F40" s="58"/>
      <c r="G40" s="397"/>
      <c r="H40" s="398"/>
      <c r="I40" s="398"/>
      <c r="J40" s="399"/>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400" t="s">
        <v>559</v>
      </c>
      <c r="E41" s="401"/>
      <c r="F41" s="58"/>
      <c r="G41" s="397"/>
      <c r="H41" s="398"/>
      <c r="I41" s="398"/>
      <c r="J41" s="399"/>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4" t="str">
        <f ca="1">D25</f>
        <v>Answer</v>
      </c>
      <c r="E43" s="40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400" t="s">
        <v>559</v>
      </c>
      <c r="E44" s="401"/>
      <c r="F44" s="58"/>
      <c r="G44" s="397"/>
      <c r="H44" s="398"/>
      <c r="I44" s="398"/>
      <c r="J44" s="399"/>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400" t="s">
        <v>559</v>
      </c>
      <c r="E45" s="401"/>
      <c r="F45" s="58"/>
      <c r="G45" s="397"/>
      <c r="H45" s="398"/>
      <c r="I45" s="398"/>
      <c r="J45" s="399"/>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400" t="s">
        <v>559</v>
      </c>
      <c r="E46" s="401"/>
      <c r="F46" s="58"/>
      <c r="G46" s="397"/>
      <c r="H46" s="398"/>
      <c r="I46" s="398"/>
      <c r="J46" s="399"/>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400" t="s">
        <v>559</v>
      </c>
      <c r="E47" s="401"/>
      <c r="F47" s="58"/>
      <c r="G47" s="397"/>
      <c r="H47" s="398"/>
      <c r="I47" s="398"/>
      <c r="J47" s="399"/>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4" t="str">
        <f ca="1">D25</f>
        <v>Answer</v>
      </c>
      <c r="E49" s="40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402">
        <v>1</v>
      </c>
      <c r="E50" s="403"/>
      <c r="F50" s="58"/>
      <c r="G50" s="397"/>
      <c r="H50" s="398"/>
      <c r="I50" s="398"/>
      <c r="J50" s="399"/>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02">
        <v>1</v>
      </c>
      <c r="E51" s="403"/>
      <c r="F51" s="58"/>
      <c r="G51" s="397"/>
      <c r="H51" s="398"/>
      <c r="I51" s="398"/>
      <c r="J51" s="399"/>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02">
        <v>1</v>
      </c>
      <c r="E52" s="403"/>
      <c r="F52" s="58"/>
      <c r="G52" s="397"/>
      <c r="H52" s="398"/>
      <c r="I52" s="398"/>
      <c r="J52" s="399"/>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402">
        <v>1</v>
      </c>
      <c r="E53" s="403"/>
      <c r="F53" s="58"/>
      <c r="G53" s="397"/>
      <c r="H53" s="398"/>
      <c r="I53" s="398"/>
      <c r="J53" s="399"/>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4" t="str">
        <f ca="1">D25</f>
        <v>Answer</v>
      </c>
      <c r="E55" s="404"/>
      <c r="F55" s="21"/>
      <c r="G55" s="55" t="str">
        <f ca="1">G25</f>
        <v>Comments</v>
      </c>
      <c r="H55" s="423"/>
      <c r="I55" s="423"/>
      <c r="J55" s="42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5" t="s">
        <v>558</v>
      </c>
      <c r="E56" s="396"/>
      <c r="F56" s="58"/>
      <c r="G56" s="397"/>
      <c r="H56" s="398"/>
      <c r="I56" s="398"/>
      <c r="J56" s="399"/>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400" t="s">
        <v>558</v>
      </c>
      <c r="E57" s="401"/>
      <c r="F57" s="58"/>
      <c r="G57" s="397"/>
      <c r="H57" s="398"/>
      <c r="I57" s="398"/>
      <c r="J57" s="399"/>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400" t="s">
        <v>558</v>
      </c>
      <c r="E58" s="401"/>
      <c r="F58" s="58"/>
      <c r="G58" s="397"/>
      <c r="H58" s="398"/>
      <c r="I58" s="398"/>
      <c r="J58" s="399"/>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400" t="s">
        <v>558</v>
      </c>
      <c r="E59" s="401"/>
      <c r="F59" s="58"/>
      <c r="G59" s="397"/>
      <c r="H59" s="398"/>
      <c r="I59" s="398"/>
      <c r="J59" s="399"/>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4" t="str">
        <f ca="1">D25</f>
        <v>Answer</v>
      </c>
      <c r="E61" s="404"/>
      <c r="F61" s="21"/>
      <c r="G61" s="55" t="str">
        <f ca="1">G25</f>
        <v>Comments</v>
      </c>
      <c r="H61" s="423" t="str">
        <f>IF(Q69="(*)","Click here to enter smelter names","")</f>
        <v/>
      </c>
      <c r="I61" s="423"/>
      <c r="J61" s="42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400" t="s">
        <v>558</v>
      </c>
      <c r="E62" s="401"/>
      <c r="F62" s="59"/>
      <c r="G62" s="397"/>
      <c r="H62" s="398"/>
      <c r="I62" s="398"/>
      <c r="J62" s="399"/>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400" t="s">
        <v>558</v>
      </c>
      <c r="E63" s="401"/>
      <c r="F63" s="59"/>
      <c r="G63" s="397"/>
      <c r="H63" s="398"/>
      <c r="I63" s="398"/>
      <c r="J63" s="399"/>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400" t="s">
        <v>558</v>
      </c>
      <c r="E64" s="401"/>
      <c r="F64" s="59"/>
      <c r="G64" s="397"/>
      <c r="H64" s="398"/>
      <c r="I64" s="398"/>
      <c r="J64" s="399"/>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400" t="s">
        <v>558</v>
      </c>
      <c r="E65" s="401"/>
      <c r="F65" s="61"/>
      <c r="G65" s="397"/>
      <c r="H65" s="398"/>
      <c r="I65" s="398"/>
      <c r="J65" s="399"/>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9" t="str">
        <f ca="1">D25</f>
        <v>Answer</v>
      </c>
      <c r="E68" s="429"/>
      <c r="F68" s="64"/>
      <c r="G68" s="429" t="str">
        <f ca="1">G25</f>
        <v>Comments</v>
      </c>
      <c r="H68" s="429" t="e">
        <f>HLOOKUP(SL,LT,$O68,0)</f>
        <v>#NAME?</v>
      </c>
      <c r="I68" s="42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400" t="s">
        <v>558</v>
      </c>
      <c r="E69" s="401"/>
      <c r="F69" s="68"/>
      <c r="G69" s="397"/>
      <c r="H69" s="398"/>
      <c r="I69" s="398"/>
      <c r="J69" s="399"/>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30"/>
      <c r="H70" s="430"/>
      <c r="I70" s="430"/>
      <c r="J70" s="43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400" t="s">
        <v>558</v>
      </c>
      <c r="E71" s="401"/>
      <c r="F71" s="68"/>
      <c r="G71" s="435" t="s">
        <v>15505</v>
      </c>
      <c r="H71" s="436"/>
      <c r="I71" s="436"/>
      <c r="J71" s="43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400" t="s">
        <v>558</v>
      </c>
      <c r="E73" s="401"/>
      <c r="F73" s="68"/>
      <c r="G73" s="397"/>
      <c r="H73" s="398"/>
      <c r="I73" s="398"/>
      <c r="J73" s="399"/>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400" t="s">
        <v>558</v>
      </c>
      <c r="E75" s="401"/>
      <c r="F75" s="68"/>
      <c r="G75" s="397"/>
      <c r="H75" s="398"/>
      <c r="I75" s="398"/>
      <c r="J75" s="399"/>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400" t="s">
        <v>558</v>
      </c>
      <c r="E77" s="401"/>
      <c r="F77" s="68"/>
      <c r="G77" s="397"/>
      <c r="H77" s="398"/>
      <c r="I77" s="398"/>
      <c r="J77" s="399"/>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1" t="s">
        <v>13311</v>
      </c>
      <c r="E79" s="442"/>
      <c r="F79" s="68"/>
      <c r="G79" s="397"/>
      <c r="H79" s="398"/>
      <c r="I79" s="398"/>
      <c r="J79" s="399"/>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30"/>
      <c r="H80" s="430"/>
      <c r="I80" s="430"/>
      <c r="J80" s="43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400" t="s">
        <v>558</v>
      </c>
      <c r="E81" s="401"/>
      <c r="F81" s="68"/>
      <c r="G81" s="397"/>
      <c r="H81" s="398"/>
      <c r="I81" s="398"/>
      <c r="J81" s="399"/>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43"/>
      <c r="H82" s="443"/>
      <c r="I82" s="443"/>
      <c r="J82" s="44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400" t="s">
        <v>558</v>
      </c>
      <c r="E83" s="401"/>
      <c r="F83" s="68"/>
      <c r="G83" s="397"/>
      <c r="H83" s="398"/>
      <c r="I83" s="398"/>
      <c r="J83" s="399"/>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400" t="s">
        <v>559</v>
      </c>
      <c r="E85" s="401"/>
      <c r="F85" s="68"/>
      <c r="G85" s="397"/>
      <c r="H85" s="398"/>
      <c r="I85" s="398"/>
      <c r="J85" s="399"/>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40" t="str">
        <f>IF(OR($D$8="",$I$3=""),"","Click here to check required fields completion")</f>
        <v/>
      </c>
      <c r="C86" s="440"/>
      <c r="D86" s="440"/>
      <c r="E86" s="440"/>
      <c r="F86" s="440"/>
      <c r="G86" s="440"/>
      <c r="H86" s="440"/>
      <c r="I86" s="440"/>
      <c r="J86" s="44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38" t="str">
        <f ca="1">OFFSET(L!$C$1,MATCH("General"&amp;"Cpy",L!$A:$A,0)-1,SL,,)</f>
        <v>© 2019 Responsible Minerals Initiative. All rights reserved.</v>
      </c>
      <c r="B87" s="439"/>
      <c r="C87" s="439"/>
      <c r="D87" s="439"/>
      <c r="E87" s="439"/>
      <c r="F87" s="439"/>
      <c r="G87" s="439"/>
      <c r="H87" s="439"/>
      <c r="I87" s="439"/>
      <c r="J87" s="43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73:E73"/>
    <mergeCell ref="G77:J77"/>
    <mergeCell ref="G73:J73"/>
    <mergeCell ref="G71:J7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 ref="G70:J70"/>
    <mergeCell ref="D11:J11"/>
    <mergeCell ref="D34:E34"/>
    <mergeCell ref="D33:E33"/>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D65:E65"/>
    <mergeCell ref="G69:J69"/>
    <mergeCell ref="D64:E64"/>
    <mergeCell ref="D69:E69"/>
    <mergeCell ref="B67:J67"/>
    <mergeCell ref="G62:J62"/>
    <mergeCell ref="G75:J75"/>
    <mergeCell ref="H37:J37"/>
    <mergeCell ref="D23:E23"/>
    <mergeCell ref="G65:J65"/>
    <mergeCell ref="G63:J6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56:J56"/>
    <mergeCell ref="A1:K1"/>
    <mergeCell ref="D2:J2"/>
    <mergeCell ref="D8:J8"/>
    <mergeCell ref="B4:H4"/>
    <mergeCell ref="F3:H3"/>
    <mergeCell ref="I4:J4"/>
    <mergeCell ref="D9:G9"/>
    <mergeCell ref="B7:J7"/>
    <mergeCell ref="B10:B11"/>
    <mergeCell ref="B6:J6"/>
    <mergeCell ref="D38:E38"/>
    <mergeCell ref="G39:J39"/>
    <mergeCell ref="G29:J29"/>
    <mergeCell ref="D51:E51"/>
    <mergeCell ref="H55:J55"/>
    <mergeCell ref="G27:J27"/>
    <mergeCell ref="D26:E26"/>
    <mergeCell ref="D27:E27"/>
    <mergeCell ref="D22:E22"/>
    <mergeCell ref="B24:J24"/>
    <mergeCell ref="D31:E31"/>
    <mergeCell ref="D44:E44"/>
    <mergeCell ref="D37:E37"/>
    <mergeCell ref="D32:E32"/>
    <mergeCell ref="G32:J32"/>
    <mergeCell ref="G33:J33"/>
    <mergeCell ref="G34:J34"/>
    <mergeCell ref="D46:E46"/>
    <mergeCell ref="D35:E35"/>
    <mergeCell ref="G51:J51"/>
    <mergeCell ref="G52:J52"/>
    <mergeCell ref="G53:J53"/>
    <mergeCell ref="D52:E52"/>
    <mergeCell ref="G38:J38"/>
    <mergeCell ref="D39:E39"/>
    <mergeCell ref="D43:E43"/>
    <mergeCell ref="D49:E49"/>
    <mergeCell ref="G35:J35"/>
    <mergeCell ref="D47:E47"/>
    <mergeCell ref="D10:J10"/>
    <mergeCell ref="D14:J14"/>
    <mergeCell ref="D13:J13"/>
    <mergeCell ref="D15:J15"/>
    <mergeCell ref="D16:J16"/>
    <mergeCell ref="D20:J20"/>
    <mergeCell ref="D12:J12"/>
    <mergeCell ref="D19:J19"/>
    <mergeCell ref="D21:J21"/>
    <mergeCell ref="D17:J17"/>
    <mergeCell ref="D18:J18"/>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E3" zoomScale="85" zoomScaleNormal="85" zoomScalePageLayoutView="55" workbookViewId="0">
      <selection activeCell="J37" sqref="J37"/>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4" t="str">
        <f ca="1">OFFSET(L!$C$1,MATCH("Smelter List"&amp;ADDRESS(ROW(),COLUMN(),4),L!$A:$A,0)-1,SL,,)</f>
        <v>Link to "RMAP Conformant Smelter List"</v>
      </c>
      <c r="K2" s="445"/>
      <c r="L2" s="445"/>
      <c r="M2" s="445"/>
      <c r="N2" s="445"/>
      <c r="O2" s="445"/>
      <c r="P2" s="232"/>
      <c r="Q2" s="233"/>
      <c r="R2" s="234"/>
      <c r="S2" s="234"/>
      <c r="T2" s="234"/>
      <c r="U2" s="261"/>
      <c r="V2" s="261"/>
      <c r="W2" s="262"/>
      <c r="X2" s="261"/>
      <c r="Y2" s="261"/>
      <c r="Z2" s="261"/>
      <c r="AH2" s="178" t="s">
        <v>558</v>
      </c>
    </row>
    <row r="3" spans="1:34" s="263" customFormat="1" ht="255.5" customHeight="1">
      <c r="A3" s="204"/>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4"/>
      <c r="G3" s="447" t="str">
        <f ca="1">OFFSET(L!$C$1,MATCH("General"&amp;"Cpy",L!$A:$A,0)-1,SL,,)</f>
        <v>© 2019 Responsible Minerals Initiative. All rights reserved.</v>
      </c>
      <c r="H3" s="447"/>
      <c r="I3" s="44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c r="B5" s="216" t="s">
        <v>1252</v>
      </c>
      <c r="C5" s="220" t="s">
        <v>1287</v>
      </c>
      <c r="D5" s="347" t="s">
        <v>1287</v>
      </c>
      <c r="E5" s="216" t="str">
        <f ca="1">IF(ISERROR($V5),"",OFFSET('Smelter Look-up'!$D$4,$V5-4,0)&amp;"")</f>
        <v>CHINA</v>
      </c>
      <c r="F5" s="216" t="str">
        <f ca="1">IF(ISERROR($V5),"",OFFSET('Smelter Look-up'!$E$4,$V5-4,0))</f>
        <v>CID000291</v>
      </c>
      <c r="G5" s="216" t="str">
        <f ca="1">IF(C5=$X$4,"Enter smelter details", IF(ISERROR($V5),"",OFFSET('Smelter Look-up'!$F$4,$V5-4,0)))</f>
        <v>RMI</v>
      </c>
      <c r="H5" s="217">
        <f ca="1">IF(ISERROR($V5),"",OFFSET('Smelter Look-up'!$G$4,$V5-4,0))</f>
        <v>0</v>
      </c>
      <c r="I5" s="218" t="str">
        <f ca="1">IF(ISERROR($V5),"",OFFSET('Smelter Look-up'!$H$4,$V5-4,0))</f>
        <v>Conghua</v>
      </c>
      <c r="J5" s="218" t="str">
        <f ca="1">IF(ISERROR($V5),"",OFFSET('Smelter Look-up'!$I$4,$V5-4,0))</f>
        <v>Guangdong Sheng</v>
      </c>
      <c r="K5" s="267"/>
      <c r="L5" s="267"/>
      <c r="M5" s="267"/>
      <c r="N5" s="267"/>
      <c r="O5" s="267"/>
      <c r="P5" s="219"/>
      <c r="Q5" s="268"/>
      <c r="R5" s="216" t="str">
        <f ca="1">IF(ISERROR($V5),"",OFFSET('Smelter Look-up'!$C$4,$V5-4,0)&amp;"")</f>
        <v>Guangdong Rising Rare Metals-EO Materials Ltd.</v>
      </c>
      <c r="S5" s="224" t="str">
        <f t="shared" ref="S5:S68" ca="1" si="0">IF(B5="","",IF(ISERROR(MATCH($E5,CL,0)),"Unknown",INDIRECT("'C'!$A$"&amp;MATCH($E5,CL,0)+1)))</f>
        <v>CN</v>
      </c>
      <c r="T5" s="224" t="str">
        <f ca="1">IF(B5="","",IF(ISERROR(MATCH($J5,SorP!$B$1:$B$6230,0)),"",INDIRECT("'SorP'!$A$"&amp;MATCH($J5,SorP!$B$1:$B$6230,0))))</f>
        <v>CN-GD</v>
      </c>
      <c r="U5" s="239"/>
      <c r="V5" s="269">
        <f>IF(C5="",NA(),MATCH($B5&amp;$C5,'Smelter Look-up'!$J:$J,0))</f>
        <v>289</v>
      </c>
      <c r="W5" s="270"/>
      <c r="X5" s="270">
        <f t="shared" ref="X5:X68" ca="1" si="1">IF(AND(C5="Smelter not listed",OR(LEN(D5)=0,LEN(E5)=0)),1,0)</f>
        <v>0</v>
      </c>
      <c r="Y5" s="270"/>
      <c r="Z5" s="270"/>
      <c r="AB5" s="272" t="str">
        <f t="shared" ref="AB5:AB68" si="2">B5&amp;C5</f>
        <v>TantalumConghua Tantalum and Niobium Smeltry</v>
      </c>
    </row>
    <row r="6" spans="1:34" s="271" customFormat="1" ht="20" customHeight="1">
      <c r="A6" s="215"/>
      <c r="B6" s="348" t="s">
        <v>1252</v>
      </c>
      <c r="C6" s="349" t="s">
        <v>49</v>
      </c>
      <c r="D6" s="350" t="s">
        <v>1220</v>
      </c>
      <c r="E6" s="216" t="str">
        <f ca="1">IF(ISERROR($V6),"",OFFSET('Smelter Look-up'!$D$4,$V6-4,0)&amp;"")</f>
        <v>CHINA</v>
      </c>
      <c r="F6" s="216" t="str">
        <f ca="1">IF(ISERROR($V6),"",OFFSET('Smelter Look-up'!$E$4,$V6-4,0))</f>
        <v>CID000460</v>
      </c>
      <c r="G6" s="216" t="str">
        <f ca="1">IF(C6=$X$4,"Enter smelter details", IF(ISERROR($V6),"",OFFSET('Smelter Look-up'!$F$4,$V6-4,0)))</f>
        <v>RMI</v>
      </c>
      <c r="H6" s="217">
        <f ca="1">IF(ISERROR($V6),"",OFFSET('Smelter Look-up'!$G$4,$V6-4,0))</f>
        <v>0</v>
      </c>
      <c r="I6" s="218" t="str">
        <f ca="1">IF(ISERROR($V6),"",OFFSET('Smelter Look-up'!$H$4,$V6-4,0))</f>
        <v>Jiangmen</v>
      </c>
      <c r="J6" s="218" t="str">
        <f ca="1">IF(ISERROR($V6),"",OFFSET('Smelter Look-up'!$I$4,$V6-4,0))</f>
        <v>Guangdong Sheng</v>
      </c>
      <c r="K6" s="267"/>
      <c r="L6" s="267"/>
      <c r="M6" s="267"/>
      <c r="N6" s="267"/>
      <c r="O6" s="267"/>
      <c r="P6" s="219"/>
      <c r="Q6" s="268"/>
      <c r="R6" s="216" t="str">
        <f ca="1">IF(ISERROR($V6),"",OFFSET('Smelter Look-up'!$C$4,$V6-4,0)&amp;"")</f>
        <v>F&amp;X Electro-Materials Ltd.</v>
      </c>
      <c r="S6" s="224" t="str">
        <f t="shared" ca="1" si="0"/>
        <v>CN</v>
      </c>
      <c r="T6" s="224" t="str">
        <f ca="1">IF(B6="","",IF(ISERROR(MATCH($J6,SorP!$B$1:$B$6230,0)),"",INDIRECT("'SorP'!$A$"&amp;MATCH($J6,SorP!$B$1:$B$6230,0))))</f>
        <v>CN-GD</v>
      </c>
      <c r="U6" s="239"/>
      <c r="V6" s="269">
        <f>IF(C6="",NA(),MATCH($B6&amp;$C6,'Smelter Look-up'!$J:$J,0))</f>
        <v>294</v>
      </c>
      <c r="W6" s="270"/>
      <c r="X6" s="270">
        <f t="shared" ca="1" si="1"/>
        <v>0</v>
      </c>
      <c r="Y6" s="270"/>
      <c r="Z6" s="270"/>
      <c r="AB6" s="272" t="str">
        <f t="shared" si="2"/>
        <v>TantalumF&amp;X Electro-Materials Ltd.</v>
      </c>
    </row>
    <row r="7" spans="1:34" s="271" customFormat="1" ht="20" customHeight="1">
      <c r="A7" s="215"/>
      <c r="B7" s="348" t="s">
        <v>1252</v>
      </c>
      <c r="C7" s="349" t="s">
        <v>1568</v>
      </c>
      <c r="D7" s="350" t="s">
        <v>1233</v>
      </c>
      <c r="E7" s="216" t="str">
        <f ca="1">IF(ISERROR($V7),"",OFFSET('Smelter Look-up'!$D$4,$V7-4,0)&amp;"")</f>
        <v>MEXICO</v>
      </c>
      <c r="F7" s="216" t="str">
        <f ca="1">IF(ISERROR($V7),"",OFFSET('Smelter Look-up'!$E$4,$V7-4,0))</f>
        <v>CID002539</v>
      </c>
      <c r="G7" s="216" t="str">
        <f ca="1">IF(C7=$X$4,"Enter smelter details", IF(ISERROR($V7),"",OFFSET('Smelter Look-up'!$F$4,$V7-4,0)))</f>
        <v>RMI</v>
      </c>
      <c r="H7" s="217">
        <f ca="1">IF(ISERROR($V7),"",OFFSET('Smelter Look-up'!$G$4,$V7-4,0))</f>
        <v>0</v>
      </c>
      <c r="I7" s="218" t="str">
        <f ca="1">IF(ISERROR($V7),"",OFFSET('Smelter Look-up'!$H$4,$V7-4,0))</f>
        <v>Matamoros</v>
      </c>
      <c r="J7" s="218" t="str">
        <f ca="1">IF(ISERROR($V7),"",OFFSET('Smelter Look-up'!$I$4,$V7-4,0))</f>
        <v>Tamaulipas</v>
      </c>
      <c r="K7" s="267"/>
      <c r="L7" s="267"/>
      <c r="M7" s="267"/>
      <c r="N7" s="267"/>
      <c r="O7" s="267"/>
      <c r="P7" s="219"/>
      <c r="Q7" s="268"/>
      <c r="R7" s="216" t="str">
        <f ca="1">IF(ISERROR($V7),"",OFFSET('Smelter Look-up'!$C$4,$V7-4,0)&amp;"")</f>
        <v>KEMET Blue Metals</v>
      </c>
      <c r="S7" s="224" t="str">
        <f t="shared" ca="1" si="0"/>
        <v>MX</v>
      </c>
      <c r="T7" s="224" t="str">
        <f ca="1">IF(B7="","",IF(ISERROR(MATCH($J7,SorP!$B$1:$B$6230,0)),"",INDIRECT("'SorP'!$A$"&amp;MATCH($J7,SorP!$B$1:$B$6230,0))))</f>
        <v>MX-TAM</v>
      </c>
      <c r="U7" s="239"/>
      <c r="V7" s="269">
        <f>IF(C7="",NA(),MATCH($B7&amp;$C7,'Smelter Look-up'!$J:$J,0))</f>
        <v>314</v>
      </c>
      <c r="W7" s="270"/>
      <c r="X7" s="270">
        <f t="shared" ca="1" si="1"/>
        <v>0</v>
      </c>
      <c r="Y7" s="270"/>
      <c r="Z7" s="270"/>
      <c r="AB7" s="272" t="str">
        <f t="shared" si="2"/>
        <v>TantalumKEMET Blue Metals</v>
      </c>
    </row>
    <row r="8" spans="1:34" s="271" customFormat="1" ht="20" customHeight="1">
      <c r="A8" s="215"/>
      <c r="B8" s="348" t="s">
        <v>1252</v>
      </c>
      <c r="C8" s="349" t="s">
        <v>1239</v>
      </c>
      <c r="D8" s="350" t="s">
        <v>1228</v>
      </c>
      <c r="E8" s="216" t="str">
        <f ca="1">IF(ISERROR($V8),"",OFFSET('Smelter Look-up'!$D$4,$V8-4,0)&amp;"")</f>
        <v>JAPAN</v>
      </c>
      <c r="F8" s="216" t="str">
        <f ca="1">IF(ISERROR($V8),"",OFFSET('Smelter Look-up'!$E$4,$V8-4,0))</f>
        <v>CID001192</v>
      </c>
      <c r="G8" s="216" t="str">
        <f ca="1">IF(C8=$X$4,"Enter smelter details", IF(ISERROR($V8),"",OFFSET('Smelter Look-up'!$F$4,$V8-4,0)))</f>
        <v>RMI</v>
      </c>
      <c r="H8" s="217">
        <f ca="1">IF(ISERROR($V8),"",OFFSET('Smelter Look-up'!$G$4,$V8-4,0))</f>
        <v>0</v>
      </c>
      <c r="I8" s="218" t="str">
        <f ca="1">IF(ISERROR($V8),"",OFFSET('Smelter Look-up'!$H$4,$V8-4,0))</f>
        <v>Omuta</v>
      </c>
      <c r="J8" s="218" t="str">
        <f ca="1">IF(ISERROR($V8),"",OFFSET('Smelter Look-up'!$I$4,$V8-4,0))</f>
        <v>Fukuoka</v>
      </c>
      <c r="K8" s="267"/>
      <c r="L8" s="267"/>
      <c r="M8" s="267"/>
      <c r="N8" s="267"/>
      <c r="O8" s="267"/>
      <c r="P8" s="219"/>
      <c r="Q8" s="268"/>
      <c r="R8" s="216" t="str">
        <f ca="1">IF(ISERROR($V8),"",OFFSET('Smelter Look-up'!$C$4,$V8-4,0)&amp;"")</f>
        <v>Mitsui Mining and Smelting Co., Ltd.</v>
      </c>
      <c r="S8" s="224" t="str">
        <f t="shared" ca="1" si="0"/>
        <v>JP</v>
      </c>
      <c r="T8" s="224" t="str">
        <f ca="1">IF(B8="","",IF(ISERROR(MATCH($J8,SorP!$B$1:$B$6230,0)),"",INDIRECT("'SorP'!$A$"&amp;MATCH($J8,SorP!$B$1:$B$6230,0))))</f>
        <v>JP-40</v>
      </c>
      <c r="U8" s="239"/>
      <c r="V8" s="269">
        <f>IF(C8="",NA(),MATCH($B8&amp;$C8,'Smelter Look-up'!$J:$J,0))</f>
        <v>322</v>
      </c>
      <c r="W8" s="270"/>
      <c r="X8" s="270">
        <f t="shared" ca="1" si="1"/>
        <v>0</v>
      </c>
      <c r="Y8" s="270"/>
      <c r="Z8" s="270"/>
      <c r="AB8" s="272" t="str">
        <f t="shared" si="2"/>
        <v>TantalumMitsui Mining &amp; Smelting</v>
      </c>
    </row>
    <row r="9" spans="1:34" s="271" customFormat="1" ht="20" customHeight="1">
      <c r="A9" s="215"/>
      <c r="B9" s="348" t="s">
        <v>1252</v>
      </c>
      <c r="C9" s="349" t="s">
        <v>2584</v>
      </c>
      <c r="D9" s="350" t="s">
        <v>1220</v>
      </c>
      <c r="E9" s="216" t="str">
        <f ca="1">IF(ISERROR($V9),"",OFFSET('Smelter Look-up'!$D$4,$V9-4,0)&amp;"")</f>
        <v>CHINA</v>
      </c>
      <c r="F9" s="216" t="str">
        <f ca="1">IF(ISERROR($V9),"",OFFSET('Smelter Look-up'!$E$4,$V9-4,0))</f>
        <v>CID002512</v>
      </c>
      <c r="G9" s="216" t="str">
        <f ca="1">IF(C9=$X$4,"Enter smelter details", IF(ISERROR($V9),"",OFFSET('Smelter Look-up'!$F$4,$V9-4,0)))</f>
        <v>RMI</v>
      </c>
      <c r="H9" s="217">
        <f ca="1">IF(ISERROR($V9),"",OFFSET('Smelter Look-up'!$G$4,$V9-4,0))</f>
        <v>0</v>
      </c>
      <c r="I9" s="218" t="str">
        <f ca="1">IF(ISERROR($V9),"",OFFSET('Smelter Look-up'!$H$4,$V9-4,0))</f>
        <v>Fengxin</v>
      </c>
      <c r="J9" s="218" t="str">
        <f ca="1">IF(ISERROR($V9),"",OFFSET('Smelter Look-up'!$I$4,$V9-4,0))</f>
        <v>Jiangxi Sheng</v>
      </c>
      <c r="K9" s="267"/>
      <c r="L9" s="267"/>
      <c r="M9" s="267"/>
      <c r="N9" s="267"/>
      <c r="O9" s="267"/>
      <c r="P9" s="219"/>
      <c r="Q9" s="268"/>
      <c r="R9" s="216" t="str">
        <f ca="1">IF(ISERROR($V9),"",OFFSET('Smelter Look-up'!$C$4,$V9-4,0)&amp;"")</f>
        <v>Jiangxi Dinghai Tantalum &amp; Niobium Co., Ltd.</v>
      </c>
      <c r="S9" s="224" t="str">
        <f t="shared" ca="1" si="0"/>
        <v>CN</v>
      </c>
      <c r="T9" s="224" t="str">
        <f ca="1">IF(B9="","",IF(ISERROR(MATCH($J9,SorP!$B$1:$B$6230,0)),"",INDIRECT("'SorP'!$A$"&amp;MATCH($J9,SorP!$B$1:$B$6230,0))))</f>
        <v>CN-JX</v>
      </c>
      <c r="U9" s="239"/>
      <c r="V9" s="269">
        <f>IF(C9="",NA(),MATCH($B9&amp;$C9,'Smelter Look-up'!$J:$J,0))</f>
        <v>307</v>
      </c>
      <c r="W9" s="270"/>
      <c r="X9" s="270">
        <f t="shared" ca="1" si="1"/>
        <v>0</v>
      </c>
      <c r="Y9" s="270"/>
      <c r="Z9" s="270"/>
      <c r="AB9" s="272" t="str">
        <f t="shared" si="2"/>
        <v>TantalumJiangxi Dinghai Tantalum &amp; Niobium Co., Ltd.</v>
      </c>
    </row>
    <row r="10" spans="1:34" s="271" customFormat="1" ht="20" customHeight="1">
      <c r="A10" s="215"/>
      <c r="B10" s="348" t="s">
        <v>1252</v>
      </c>
      <c r="C10" s="349" t="s">
        <v>2581</v>
      </c>
      <c r="D10" s="350" t="s">
        <v>1220</v>
      </c>
      <c r="E10" s="216" t="str">
        <f ca="1">IF(ISERROR($V10),"",OFFSET('Smelter Look-up'!$D$4,$V10-4,0)&amp;"")</f>
        <v>CHINA</v>
      </c>
      <c r="F10" s="216" t="str">
        <f ca="1">IF(ISERROR($V10),"",OFFSET('Smelter Look-up'!$E$4,$V10-4,0))</f>
        <v>CID002506</v>
      </c>
      <c r="G10" s="216" t="str">
        <f ca="1">IF(C10=$X$4,"Enter smelter details", IF(ISERROR($V10),"",OFFSET('Smelter Look-up'!$F$4,$V10-4,0)))</f>
        <v>RMI</v>
      </c>
      <c r="H10" s="217">
        <f ca="1">IF(ISERROR($V10),"",OFFSET('Smelter Look-up'!$G$4,$V10-4,0))</f>
        <v>0</v>
      </c>
      <c r="I10" s="218" t="str">
        <f ca="1">IF(ISERROR($V10),"",OFFSET('Smelter Look-up'!$H$4,$V10-4,0))</f>
        <v>Jiujiang</v>
      </c>
      <c r="J10" s="218" t="str">
        <f ca="1">IF(ISERROR($V10),"",OFFSET('Smelter Look-up'!$I$4,$V10-4,0))</f>
        <v>Jiangxi Sheng</v>
      </c>
      <c r="K10" s="267"/>
      <c r="L10" s="267"/>
      <c r="M10" s="267"/>
      <c r="N10" s="267"/>
      <c r="O10" s="267"/>
      <c r="P10" s="219"/>
      <c r="Q10" s="268"/>
      <c r="R10" s="216" t="str">
        <f ca="1">IF(ISERROR($V10),"",OFFSET('Smelter Look-up'!$C$4,$V10-4,0)&amp;"")</f>
        <v>Jiujiang Zhongao Tantalum &amp; Niobium Co., Ltd.</v>
      </c>
      <c r="S10" s="224" t="str">
        <f t="shared" ca="1" si="0"/>
        <v>CN</v>
      </c>
      <c r="T10" s="224" t="str">
        <f ca="1">IF(B10="","",IF(ISERROR(MATCH($J10,SorP!$B$1:$B$6230,0)),"",INDIRECT("'SorP'!$A$"&amp;MATCH($J10,SorP!$B$1:$B$6230,0))))</f>
        <v>CN-JX</v>
      </c>
      <c r="U10" s="239"/>
      <c r="V10" s="269">
        <f>IF(C10="",NA(),MATCH($B10&amp;$C10,'Smelter Look-up'!$J:$J,0))</f>
        <v>313</v>
      </c>
      <c r="W10" s="270"/>
      <c r="X10" s="270">
        <f t="shared" ca="1" si="1"/>
        <v>0</v>
      </c>
      <c r="Y10" s="270"/>
      <c r="Z10" s="270"/>
      <c r="AB10" s="272" t="str">
        <f t="shared" si="2"/>
        <v>TantalumJiujiang Zhongao Tantalum &amp; Niobium Co., Ltd.</v>
      </c>
    </row>
    <row r="11" spans="1:34" s="271" customFormat="1" ht="20" customHeight="1">
      <c r="A11" s="215"/>
      <c r="B11" s="348" t="s">
        <v>1252</v>
      </c>
      <c r="C11" s="349" t="s">
        <v>5</v>
      </c>
      <c r="D11" s="350" t="s">
        <v>1220</v>
      </c>
      <c r="E11" s="216" t="str">
        <f ca="1">IF(ISERROR($V11),"",OFFSET('Smelter Look-up'!$D$4,$V11-4,0)&amp;"")</f>
        <v>CHINA</v>
      </c>
      <c r="F11" s="216" t="str">
        <f ca="1">IF(ISERROR($V11),"",OFFSET('Smelter Look-up'!$E$4,$V11-4,0))</f>
        <v>CID000914</v>
      </c>
      <c r="G11" s="216" t="str">
        <f ca="1">IF(C11=$X$4,"Enter smelter details", IF(ISERROR($V11),"",OFFSET('Smelter Look-up'!$F$4,$V11-4,0)))</f>
        <v>RMI</v>
      </c>
      <c r="H11" s="217">
        <f ca="1">IF(ISERROR($V11),"",OFFSET('Smelter Look-up'!$G$4,$V11-4,0))</f>
        <v>0</v>
      </c>
      <c r="I11" s="218" t="str">
        <f ca="1">IF(ISERROR($V11),"",OFFSET('Smelter Look-up'!$H$4,$V11-4,0))</f>
        <v>Jiujiang</v>
      </c>
      <c r="J11" s="218" t="str">
        <f ca="1">IF(ISERROR($V11),"",OFFSET('Smelter Look-up'!$I$4,$V11-4,0))</f>
        <v>Jiangxi Sheng</v>
      </c>
      <c r="K11" s="267"/>
      <c r="L11" s="267"/>
      <c r="M11" s="267"/>
      <c r="N11" s="267"/>
      <c r="O11" s="267"/>
      <c r="P11" s="219"/>
      <c r="Q11" s="268"/>
      <c r="R11" s="216" t="str">
        <f ca="1">IF(ISERROR($V11),"",OFFSET('Smelter Look-up'!$C$4,$V11-4,0)&amp;"")</f>
        <v>JiuJiang JinXin Nonferrous Metals Co., Ltd.</v>
      </c>
      <c r="S11" s="224" t="str">
        <f t="shared" ca="1" si="0"/>
        <v>CN</v>
      </c>
      <c r="T11" s="224" t="str">
        <f ca="1">IF(B11="","",IF(ISERROR(MATCH($J11,SorP!$B$1:$B$6230,0)),"",INDIRECT("'SorP'!$A$"&amp;MATCH($J11,SorP!$B$1:$B$6230,0))))</f>
        <v>CN-JX</v>
      </c>
      <c r="U11" s="239"/>
      <c r="V11" s="269">
        <f>IF(C11="",NA(),MATCH($B11&amp;$C11,'Smelter Look-up'!$J:$J,0))</f>
        <v>310</v>
      </c>
      <c r="W11" s="270"/>
      <c r="X11" s="270">
        <f t="shared" ca="1" si="1"/>
        <v>0</v>
      </c>
      <c r="Y11" s="270"/>
      <c r="Z11" s="270"/>
      <c r="AB11" s="272" t="str">
        <f t="shared" si="2"/>
        <v>TantalumJiuJiang JinXin Nonferrous Metals Co., Ltd.</v>
      </c>
    </row>
    <row r="12" spans="1:34" s="271" customFormat="1" ht="27" customHeight="1">
      <c r="A12" s="215"/>
      <c r="B12" s="348" t="s">
        <v>1251</v>
      </c>
      <c r="C12" s="349" t="s">
        <v>2705</v>
      </c>
      <c r="D12" s="350" t="s">
        <v>1220</v>
      </c>
      <c r="E12" s="216" t="str">
        <f ca="1">IF(ISERROR($V12),"",OFFSET('Smelter Look-up'!$D$4,$V12-4,0)&amp;"")</f>
        <v>CHINA</v>
      </c>
      <c r="F12" s="216" t="str">
        <f ca="1">IF(ISERROR($V12),"",OFFSET('Smelter Look-up'!$E$4,$V12-4,0))</f>
        <v>CID000228</v>
      </c>
      <c r="G12" s="216" t="str">
        <f ca="1">IF(C12=$X$4,"Enter smelter details", IF(ISERROR($V12),"",OFFSET('Smelter Look-up'!$F$4,$V12-4,0)))</f>
        <v>RMI</v>
      </c>
      <c r="H12" s="217">
        <f ca="1">IF(ISERROR($V12),"",OFFSET('Smelter Look-up'!$G$4,$V12-4,0))</f>
        <v>0</v>
      </c>
      <c r="I12" s="218" t="str">
        <f ca="1">IF(ISERROR($V12),"",OFFSET('Smelter Look-up'!$H$4,$V12-4,0))</f>
        <v>Chenzhou</v>
      </c>
      <c r="J12" s="218" t="str">
        <f ca="1">IF(ISERROR($V12),"",OFFSET('Smelter Look-up'!$I$4,$V12-4,0))</f>
        <v>Hunan Sheng</v>
      </c>
      <c r="K12" s="267"/>
      <c r="L12" s="267"/>
      <c r="M12" s="267"/>
      <c r="N12" s="267"/>
      <c r="O12" s="267"/>
      <c r="P12" s="219"/>
      <c r="Q12" s="268"/>
      <c r="R12" s="216" t="str">
        <f ca="1">IF(ISERROR($V12),"",OFFSET('Smelter Look-up'!$C$4,$V12-4,0)&amp;"")</f>
        <v>Chenzhou Yunxiang Mining and Metallurgy Co., Ltd.</v>
      </c>
      <c r="S12" s="224" t="str">
        <f t="shared" ca="1" si="0"/>
        <v>CN</v>
      </c>
      <c r="T12" s="224" t="str">
        <f ca="1">IF(B12="","",IF(ISERROR(MATCH($J12,SorP!$B$1:$B$6230,0)),"",INDIRECT("'SorP'!$A$"&amp;MATCH($J12,SorP!$B$1:$B$6230,0))))</f>
        <v>CN-HN</v>
      </c>
      <c r="U12" s="239"/>
      <c r="V12" s="269">
        <f>IF(C12="",NA(),MATCH($B12&amp;$C12,'Smelter Look-up'!$J:$J,0))</f>
        <v>358</v>
      </c>
      <c r="W12" s="270"/>
      <c r="X12" s="270">
        <f t="shared" ca="1" si="1"/>
        <v>0</v>
      </c>
      <c r="Y12" s="270"/>
      <c r="Z12" s="270"/>
      <c r="AB12" s="272" t="str">
        <f t="shared" si="2"/>
        <v>TinChenzhou Yun Xiang mining limited liability company</v>
      </c>
    </row>
    <row r="13" spans="1:34" s="271" customFormat="1" ht="20" customHeight="1">
      <c r="A13" s="215"/>
      <c r="B13" s="348" t="s">
        <v>1251</v>
      </c>
      <c r="C13" s="349" t="s">
        <v>3223</v>
      </c>
      <c r="D13" s="350" t="s">
        <v>1220</v>
      </c>
      <c r="E13" s="216" t="str">
        <f ca="1">IF(ISERROR($V13),"",OFFSET('Smelter Look-up'!$D$4,$V13-4,0)&amp;"")</f>
        <v>CHINA</v>
      </c>
      <c r="F13" s="216" t="str">
        <f ca="1">IF(ISERROR($V13),"",OFFSET('Smelter Look-up'!$E$4,$V13-4,0))</f>
        <v>CID003116</v>
      </c>
      <c r="G13" s="216" t="str">
        <f ca="1">IF(C13=$X$4,"Enter smelter details", IF(ISERROR($V13),"",OFFSET('Smelter Look-up'!$F$4,$V13-4,0)))</f>
        <v>RMI</v>
      </c>
      <c r="H13" s="217">
        <f ca="1">IF(ISERROR($V13),"",OFFSET('Smelter Look-up'!$G$4,$V13-4,0))</f>
        <v>0</v>
      </c>
      <c r="I13" s="218" t="str">
        <f ca="1">IF(ISERROR($V13),"",OFFSET('Smelter Look-up'!$H$4,$V13-4,0))</f>
        <v>Chaozhou</v>
      </c>
      <c r="J13" s="218" t="str">
        <f ca="1">IF(ISERROR($V13),"",OFFSET('Smelter Look-up'!$I$4,$V13-4,0))</f>
        <v>Guangdong Sheng</v>
      </c>
      <c r="K13" s="267"/>
      <c r="L13" s="267"/>
      <c r="M13" s="267"/>
      <c r="N13" s="267"/>
      <c r="O13" s="267"/>
      <c r="P13" s="219"/>
      <c r="Q13" s="268"/>
      <c r="R13" s="216" t="str">
        <f ca="1">IF(ISERROR($V13),"",OFFSET('Smelter Look-up'!$C$4,$V13-4,0)&amp;"")</f>
        <v>Guangdong Hanhe Non-Ferrous Metal Co., Ltd.</v>
      </c>
      <c r="S13" s="224" t="str">
        <f t="shared" ca="1" si="0"/>
        <v>CN</v>
      </c>
      <c r="T13" s="224" t="str">
        <f ca="1">IF(B13="","",IF(ISERROR(MATCH($J13,SorP!$B$1:$B$6230,0)),"",INDIRECT("'SorP'!$A$"&amp;MATCH($J13,SorP!$B$1:$B$6230,0))))</f>
        <v>CN-GD</v>
      </c>
      <c r="U13" s="239"/>
      <c r="V13" s="269">
        <f>IF(C13="",NA(),MATCH($B13&amp;$C13,'Smelter Look-up'!$J:$J,0))</f>
        <v>399</v>
      </c>
      <c r="W13" s="270"/>
      <c r="X13" s="270">
        <f t="shared" ca="1" si="1"/>
        <v>0</v>
      </c>
      <c r="Y13" s="270"/>
      <c r="Z13" s="270"/>
      <c r="AB13" s="272" t="str">
        <f t="shared" si="2"/>
        <v>TinGuangdong Hanhe Non-Ferrous Metal Co., Ltd.</v>
      </c>
    </row>
    <row r="14" spans="1:34" s="271" customFormat="1" ht="20" customHeight="1">
      <c r="A14" s="215"/>
      <c r="B14" s="348" t="s">
        <v>1251</v>
      </c>
      <c r="C14" s="349" t="s">
        <v>2578</v>
      </c>
      <c r="D14" s="350" t="s">
        <v>1220</v>
      </c>
      <c r="E14" s="216" t="str">
        <f ca="1">IF(ISERROR($V14),"",OFFSET('Smelter Look-up'!$D$4,$V14-4,0)&amp;"")</f>
        <v>CHINA</v>
      </c>
      <c r="F14" s="216" t="str">
        <f ca="1">IF(ISERROR($V14),"",OFFSET('Smelter Look-up'!$E$4,$V14-4,0))</f>
        <v>CID002158</v>
      </c>
      <c r="G14" s="216" t="str">
        <f ca="1">IF(C14=$X$4,"Enter smelter details", IF(ISERROR($V14),"",OFFSET('Smelter Look-up'!$F$4,$V14-4,0)))</f>
        <v>RMI</v>
      </c>
      <c r="H14" s="217">
        <f ca="1">IF(ISERROR($V14),"",OFFSET('Smelter Look-up'!$G$4,$V14-4,0))</f>
        <v>0</v>
      </c>
      <c r="I14" s="218" t="str">
        <f ca="1">IF(ISERROR($V14),"",OFFSET('Smelter Look-up'!$H$4,$V14-4,0))</f>
        <v>Gejiu</v>
      </c>
      <c r="J14" s="218" t="str">
        <f ca="1">IF(ISERROR($V14),"",OFFSET('Smelter Look-up'!$I$4,$V14-4,0))</f>
        <v>Yunnan Sheng</v>
      </c>
      <c r="K14" s="267"/>
      <c r="L14" s="267"/>
      <c r="M14" s="267"/>
      <c r="N14" s="267"/>
      <c r="O14" s="267"/>
      <c r="P14" s="219"/>
      <c r="Q14" s="268"/>
      <c r="R14" s="216" t="str">
        <f ca="1">IF(ISERROR($V14),"",OFFSET('Smelter Look-up'!$C$4,$V14-4,0)&amp;"")</f>
        <v>Yunnan Chengfeng Non-ferrous Metals Co., Ltd.</v>
      </c>
      <c r="S14" s="224" t="str">
        <f t="shared" ca="1" si="0"/>
        <v>CN</v>
      </c>
      <c r="T14" s="224" t="str">
        <f ca="1">IF(B14="","",IF(ISERROR(MATCH($J14,SorP!$B$1:$B$6230,0)),"",INDIRECT("'SorP'!$A$"&amp;MATCH($J14,SorP!$B$1:$B$6230,0))))</f>
        <v>CN-YN</v>
      </c>
      <c r="U14" s="239"/>
      <c r="V14" s="269">
        <f>IF(C14="",NA(),MATCH($B14&amp;$C14,'Smelter Look-up'!$J:$J,0))</f>
        <v>503</v>
      </c>
      <c r="W14" s="270"/>
      <c r="X14" s="270">
        <f t="shared" ca="1" si="1"/>
        <v>0</v>
      </c>
      <c r="Y14" s="270"/>
      <c r="Z14" s="270"/>
      <c r="AB14" s="272" t="str">
        <f t="shared" si="2"/>
        <v>TinYunnan Chengfeng Non-ferrous Metals Co., Ltd.</v>
      </c>
    </row>
    <row r="15" spans="1:34" s="271" customFormat="1" ht="20" customHeight="1">
      <c r="A15" s="215"/>
      <c r="B15" s="348" t="s">
        <v>1251</v>
      </c>
      <c r="C15" s="349" t="s">
        <v>55</v>
      </c>
      <c r="D15" s="350" t="s">
        <v>1220</v>
      </c>
      <c r="E15" s="216" t="str">
        <f ca="1">IF(ISERROR($V15),"",OFFSET('Smelter Look-up'!$D$4,$V15-4,0)&amp;"")</f>
        <v>CHINA</v>
      </c>
      <c r="F15" s="216" t="str">
        <f ca="1">IF(ISERROR($V15),"",OFFSET('Smelter Look-up'!$E$4,$V15-4,0))</f>
        <v>CID002180</v>
      </c>
      <c r="G15" s="216" t="str">
        <f ca="1">IF(C15=$X$4,"Enter smelter details", IF(ISERROR($V15),"",OFFSET('Smelter Look-up'!$F$4,$V15-4,0)))</f>
        <v>RMI</v>
      </c>
      <c r="H15" s="217">
        <f ca="1">IF(ISERROR($V15),"",OFFSET('Smelter Look-up'!$G$4,$V15-4,0))</f>
        <v>0</v>
      </c>
      <c r="I15" s="218" t="str">
        <f ca="1">IF(ISERROR($V15),"",OFFSET('Smelter Look-up'!$H$4,$V15-4,0))</f>
        <v>Gejiu</v>
      </c>
      <c r="J15" s="218" t="str">
        <f ca="1">IF(ISERROR($V15),"",OFFSET('Smelter Look-up'!$I$4,$V15-4,0))</f>
        <v>Yunnan Sheng</v>
      </c>
      <c r="K15" s="267"/>
      <c r="L15" s="267"/>
      <c r="M15" s="267"/>
      <c r="N15" s="267"/>
      <c r="O15" s="267"/>
      <c r="P15" s="219"/>
      <c r="Q15" s="268"/>
      <c r="R15" s="216" t="str">
        <f ca="1">IF(ISERROR($V15),"",OFFSET('Smelter Look-up'!$C$4,$V15-4,0)&amp;"")</f>
        <v>Yunnan Tin Company Limited</v>
      </c>
      <c r="S15" s="224" t="str">
        <f t="shared" ca="1" si="0"/>
        <v>CN</v>
      </c>
      <c r="T15" s="224" t="str">
        <f ca="1">IF(B15="","",IF(ISERROR(MATCH($J15,SorP!$B$1:$B$6230,0)),"",INDIRECT("'SorP'!$A$"&amp;MATCH($J15,SorP!$B$1:$B$6230,0))))</f>
        <v>CN-YN</v>
      </c>
      <c r="U15" s="239"/>
      <c r="V15" s="269">
        <f>IF(C15="",NA(),MATCH($B15&amp;$C15,'Smelter Look-up'!$J:$J,0))</f>
        <v>508</v>
      </c>
      <c r="W15" s="270"/>
      <c r="X15" s="270">
        <f t="shared" ca="1" si="1"/>
        <v>0</v>
      </c>
      <c r="Y15" s="270"/>
      <c r="Z15" s="270"/>
      <c r="AB15" s="272" t="str">
        <f t="shared" si="2"/>
        <v>TinYunnan Tin Company, Ltd.</v>
      </c>
    </row>
    <row r="16" spans="1:34" s="271" customFormat="1" ht="20" customHeight="1">
      <c r="A16" s="215"/>
      <c r="B16" s="348" t="s">
        <v>1251</v>
      </c>
      <c r="C16" s="349" t="s">
        <v>1457</v>
      </c>
      <c r="D16" s="350" t="s">
        <v>1220</v>
      </c>
      <c r="E16" s="216" t="str">
        <f ca="1">IF(ISERROR($V16),"",OFFSET('Smelter Look-up'!$D$4,$V16-4,0)&amp;"")</f>
        <v>CHINA</v>
      </c>
      <c r="F16" s="216" t="str">
        <f ca="1">IF(ISERROR($V16),"",OFFSET('Smelter Look-up'!$E$4,$V16-4,0))</f>
        <v>CID001070</v>
      </c>
      <c r="G16" s="216" t="str">
        <f ca="1">IF(C16=$X$4,"Enter smelter details", IF(ISERROR($V16),"",OFFSET('Smelter Look-up'!$F$4,$V16-4,0)))</f>
        <v>RMI</v>
      </c>
      <c r="H16" s="217">
        <f ca="1">IF(ISERROR($V16),"",OFFSET('Smelter Look-up'!$G$4,$V16-4,0))</f>
        <v>0</v>
      </c>
      <c r="I16" s="218" t="str">
        <f ca="1">IF(ISERROR($V16),"",OFFSET('Smelter Look-up'!$H$4,$V16-4,0))</f>
        <v>Laibin</v>
      </c>
      <c r="J16" s="218" t="str">
        <f ca="1">IF(ISERROR($V16),"",OFFSET('Smelter Look-up'!$I$4,$V16-4,0))</f>
        <v>Guangxi Zhuangzu Zizhiqu</v>
      </c>
      <c r="K16" s="267"/>
      <c r="L16" s="267"/>
      <c r="M16" s="267"/>
      <c r="N16" s="267"/>
      <c r="O16" s="267"/>
      <c r="P16" s="219"/>
      <c r="Q16" s="268"/>
      <c r="R16" s="216" t="str">
        <f ca="1">IF(ISERROR($V16),"",OFFSET('Smelter Look-up'!$C$4,$V16-4,0)&amp;"")</f>
        <v>China Tin Group Co., Ltd.</v>
      </c>
      <c r="S16" s="224" t="str">
        <f t="shared" ca="1" si="0"/>
        <v>CN</v>
      </c>
      <c r="T16" s="224" t="str">
        <f ca="1">IF(B16="","",IF(ISERROR(MATCH($J16,SorP!$B$1:$B$6230,0)),"",INDIRECT("'SorP'!$A$"&amp;MATCH($J16,SorP!$B$1:$B$6230,0))))</f>
        <v>CN-GX</v>
      </c>
      <c r="U16" s="239"/>
      <c r="V16" s="269">
        <f>IF(C16="",NA(),MATCH($B16&amp;$C16,'Smelter Look-up'!$J:$J,0))</f>
        <v>362</v>
      </c>
      <c r="W16" s="270"/>
      <c r="X16" s="270">
        <f t="shared" ca="1" si="1"/>
        <v>0</v>
      </c>
      <c r="Y16" s="270"/>
      <c r="Z16" s="270"/>
      <c r="AB16" s="272" t="str">
        <f t="shared" si="2"/>
        <v>TinChina Tin Group Co., Ltd.</v>
      </c>
    </row>
    <row r="17" spans="1:28" s="271" customFormat="1" ht="20" customHeight="1">
      <c r="A17" s="215"/>
      <c r="B17" s="348" t="s">
        <v>1251</v>
      </c>
      <c r="C17" s="349" t="s">
        <v>2661</v>
      </c>
      <c r="D17" s="350" t="s">
        <v>3092</v>
      </c>
      <c r="E17" s="216" t="str">
        <f ca="1">IF(ISERROR($V17),"",OFFSET('Smelter Look-up'!$D$4,$V17-4,0)&amp;"")</f>
        <v>UNITED STATES OF AMERICA</v>
      </c>
      <c r="F17" s="216" t="str">
        <f ca="1">IF(ISERROR($V17),"",OFFSET('Smelter Look-up'!$E$4,$V17-4,0))</f>
        <v>CID000292</v>
      </c>
      <c r="G17" s="216" t="str">
        <f ca="1">IF(C17=$X$4,"Enter smelter details", IF(ISERROR($V17),"",OFFSET('Smelter Look-up'!$F$4,$V17-4,0)))</f>
        <v>RMI</v>
      </c>
      <c r="H17" s="217">
        <f ca="1">IF(ISERROR($V17),"",OFFSET('Smelter Look-up'!$G$4,$V17-4,0))</f>
        <v>0</v>
      </c>
      <c r="I17" s="218" t="str">
        <f ca="1">IF(ISERROR($V17),"",OFFSET('Smelter Look-up'!$H$4,$V17-4,0))</f>
        <v>Altoona</v>
      </c>
      <c r="J17" s="218" t="str">
        <f ca="1">IF(ISERROR($V17),"",OFFSET('Smelter Look-up'!$I$4,$V17-4,0))</f>
        <v>Pennsylvania</v>
      </c>
      <c r="K17" s="267"/>
      <c r="L17" s="267"/>
      <c r="M17" s="267"/>
      <c r="N17" s="267"/>
      <c r="O17" s="267"/>
      <c r="P17" s="219"/>
      <c r="Q17" s="268"/>
      <c r="R17" s="216" t="str">
        <f ca="1">IF(ISERROR($V17),"",OFFSET('Smelter Look-up'!$C$4,$V17-4,0)&amp;"")</f>
        <v>Alpha</v>
      </c>
      <c r="S17" s="224" t="str">
        <f t="shared" ca="1" si="0"/>
        <v>US</v>
      </c>
      <c r="T17" s="224" t="str">
        <f ca="1">IF(B17="","",IF(ISERROR(MATCH($J17,SorP!$B$1:$B$6230,0)),"",INDIRECT("'SorP'!$A$"&amp;MATCH($J17,SorP!$B$1:$B$6230,0))))</f>
        <v>US-PA</v>
      </c>
      <c r="U17" s="239"/>
      <c r="V17" s="269">
        <f>IF(C17="",NA(),MATCH($B17&amp;$C17,'Smelter Look-up'!$J:$J,0))</f>
        <v>352</v>
      </c>
      <c r="W17" s="270"/>
      <c r="X17" s="270">
        <f t="shared" ca="1" si="1"/>
        <v>0</v>
      </c>
      <c r="Y17" s="270"/>
      <c r="Z17" s="270"/>
      <c r="AB17" s="272" t="str">
        <f t="shared" si="2"/>
        <v>TinAlpha Metals Korea Ltd.</v>
      </c>
    </row>
    <row r="18" spans="1:28" s="271" customFormat="1" ht="20" customHeight="1">
      <c r="A18" s="215"/>
      <c r="B18" s="348" t="s">
        <v>1251</v>
      </c>
      <c r="C18" s="349" t="s">
        <v>2010</v>
      </c>
      <c r="D18" s="350" t="s">
        <v>3092</v>
      </c>
      <c r="E18" s="216" t="str">
        <f ca="1">IF(ISERROR($V18),"",OFFSET('Smelter Look-up'!$D$4,$V18-4,0)&amp;"")</f>
        <v>UNITED STATES OF AMERICA</v>
      </c>
      <c r="F18" s="216" t="str">
        <f ca="1">IF(ISERROR($V18),"",OFFSET('Smelter Look-up'!$E$4,$V18-4,0))</f>
        <v>CID000292</v>
      </c>
      <c r="G18" s="216" t="str">
        <f ca="1">IF(C18=$X$4,"Enter smelter details", IF(ISERROR($V18),"",OFFSET('Smelter Look-up'!$F$4,$V18-4,0)))</f>
        <v>RMI</v>
      </c>
      <c r="H18" s="217">
        <f ca="1">IF(ISERROR($V18),"",OFFSET('Smelter Look-up'!$G$4,$V18-4,0))</f>
        <v>0</v>
      </c>
      <c r="I18" s="218" t="str">
        <f ca="1">IF(ISERROR($V18),"",OFFSET('Smelter Look-up'!$H$4,$V18-4,0))</f>
        <v>Altoona</v>
      </c>
      <c r="J18" s="218" t="str">
        <f ca="1">IF(ISERROR($V18),"",OFFSET('Smelter Look-up'!$I$4,$V18-4,0))</f>
        <v>Pennsylvania</v>
      </c>
      <c r="K18" s="267"/>
      <c r="L18" s="267"/>
      <c r="M18" s="267"/>
      <c r="N18" s="267"/>
      <c r="O18" s="267"/>
      <c r="P18" s="219"/>
      <c r="Q18" s="268"/>
      <c r="R18" s="216" t="str">
        <f ca="1">IF(ISERROR($V18),"",OFFSET('Smelter Look-up'!$C$4,$V18-4,0)&amp;"")</f>
        <v>Alpha</v>
      </c>
      <c r="S18" s="224" t="str">
        <f t="shared" ca="1" si="0"/>
        <v>US</v>
      </c>
      <c r="T18" s="224" t="str">
        <f ca="1">IF(B18="","",IF(ISERROR(MATCH($J18,SorP!$B$1:$B$6230,0)),"",INDIRECT("'SorP'!$A$"&amp;MATCH($J18,SorP!$B$1:$B$6230,0))))</f>
        <v>US-PA</v>
      </c>
      <c r="U18" s="239"/>
      <c r="V18" s="269">
        <f>IF(C18="",NA(),MATCH($B18&amp;$C18,'Smelter Look-up'!$J:$J,0))</f>
        <v>353</v>
      </c>
      <c r="W18" s="270"/>
      <c r="X18" s="270">
        <f t="shared" ca="1" si="1"/>
        <v>0</v>
      </c>
      <c r="Y18" s="270"/>
      <c r="Z18" s="270"/>
      <c r="AB18" s="272" t="str">
        <f t="shared" si="2"/>
        <v>TinAlpha Metals Taiwan</v>
      </c>
    </row>
    <row r="19" spans="1:28" s="271" customFormat="1" ht="20" customHeight="1">
      <c r="A19" s="215"/>
      <c r="B19" s="348" t="s">
        <v>1251</v>
      </c>
      <c r="C19" s="349" t="s">
        <v>2662</v>
      </c>
      <c r="D19" s="350" t="s">
        <v>1220</v>
      </c>
      <c r="E19" s="216" t="str">
        <f ca="1">IF(ISERROR($V19),"",OFFSET('Smelter Look-up'!$D$4,$V19-4,0)&amp;"")</f>
        <v>CHINA</v>
      </c>
      <c r="F19" s="216" t="str">
        <f ca="1">IF(ISERROR($V19),"",OFFSET('Smelter Look-up'!$E$4,$V19-4,0))</f>
        <v>CID002158</v>
      </c>
      <c r="G19" s="216" t="str">
        <f ca="1">IF(C19=$X$4,"Enter smelter details", IF(ISERROR($V19),"",OFFSET('Smelter Look-up'!$F$4,$V19-4,0)))</f>
        <v>RMI</v>
      </c>
      <c r="H19" s="217">
        <f ca="1">IF(ISERROR($V19),"",OFFSET('Smelter Look-up'!$G$4,$V19-4,0))</f>
        <v>0</v>
      </c>
      <c r="I19" s="218" t="str">
        <f ca="1">IF(ISERROR($V19),"",OFFSET('Smelter Look-up'!$H$4,$V19-4,0))</f>
        <v>Gejiu</v>
      </c>
      <c r="J19" s="218" t="str">
        <f ca="1">IF(ISERROR($V19),"",OFFSET('Smelter Look-up'!$I$4,$V19-4,0))</f>
        <v>Yunnan Sheng</v>
      </c>
      <c r="K19" s="267"/>
      <c r="L19" s="267"/>
      <c r="M19" s="267"/>
      <c r="N19" s="267"/>
      <c r="O19" s="267"/>
      <c r="P19" s="219"/>
      <c r="Q19" s="268"/>
      <c r="R19" s="216" t="str">
        <f ca="1">IF(ISERROR($V19),"",OFFSET('Smelter Look-up'!$C$4,$V19-4,0)&amp;"")</f>
        <v>Yunnan Chengfeng Non-ferrous Metals Co., Ltd.</v>
      </c>
      <c r="S19" s="224" t="str">
        <f t="shared" ca="1" si="0"/>
        <v>CN</v>
      </c>
      <c r="T19" s="224" t="str">
        <f ca="1">IF(B19="","",IF(ISERROR(MATCH($J19,SorP!$B$1:$B$6230,0)),"",INDIRECT("'SorP'!$A$"&amp;MATCH($J19,SorP!$B$1:$B$6230,0))))</f>
        <v>CN-YN</v>
      </c>
      <c r="U19" s="239"/>
      <c r="V19" s="269">
        <f>IF(C19="",NA(),MATCH($B19&amp;$C19,'Smelter Look-up'!$J:$J,0))</f>
        <v>357</v>
      </c>
      <c r="W19" s="270"/>
      <c r="X19" s="270">
        <f t="shared" ca="1" si="1"/>
        <v>0</v>
      </c>
      <c r="Y19" s="270"/>
      <c r="Z19" s="270"/>
      <c r="AB19" s="272" t="str">
        <f t="shared" si="2"/>
        <v>TinChengfeng Metals Co Pte Ltd</v>
      </c>
    </row>
    <row r="20" spans="1:28" s="271" customFormat="1" ht="20" customHeight="1">
      <c r="A20" s="215"/>
      <c r="B20" s="348" t="s">
        <v>1251</v>
      </c>
      <c r="C20" s="349" t="s">
        <v>15506</v>
      </c>
      <c r="D20" s="350" t="s">
        <v>1220</v>
      </c>
      <c r="E20" s="216" t="s">
        <v>1220</v>
      </c>
      <c r="F20" s="351" t="s">
        <v>15508</v>
      </c>
      <c r="G20" s="216" t="s">
        <v>14357</v>
      </c>
      <c r="H20" s="217" t="str">
        <f ca="1">IF(ISERROR($V20),"",OFFSET('Smelter Look-up'!$G$4,$V20-4,0))</f>
        <v/>
      </c>
      <c r="I20" s="352" t="s">
        <v>1985</v>
      </c>
      <c r="J20" s="352" t="s">
        <v>15509</v>
      </c>
      <c r="K20" s="267"/>
      <c r="L20" s="267"/>
      <c r="M20" s="267"/>
      <c r="N20" s="267"/>
      <c r="O20" s="267"/>
      <c r="P20" s="219"/>
      <c r="Q20" s="268"/>
      <c r="R20" s="216" t="str">
        <f ca="1">IF(ISERROR($V20),"",OFFSET('Smelter Look-up'!$C$4,$V20-4,0)&amp;"")</f>
        <v/>
      </c>
      <c r="S20" s="224" t="str">
        <f t="shared" ca="1" si="0"/>
        <v>CN</v>
      </c>
      <c r="T20" s="224" t="str">
        <f ca="1">IF(B20="","",IF(ISERROR(MATCH($J20,SorP!$B$1:$B$6230,0)),"",INDIRECT("'SorP'!$A$"&amp;MATCH($J20,SorP!$B$1:$B$6230,0))))</f>
        <v/>
      </c>
      <c r="U20" s="239"/>
      <c r="V20" s="269" t="e">
        <f>IF(C20="",NA(),MATCH($B20&amp;$C20,'Smelter Look-up'!$J:$J,0))</f>
        <v>#N/A</v>
      </c>
      <c r="W20" s="270"/>
      <c r="X20" s="270">
        <f t="shared" si="1"/>
        <v>0</v>
      </c>
      <c r="Y20" s="270"/>
      <c r="Z20" s="270"/>
      <c r="AB20" s="272" t="str">
        <f t="shared" si="2"/>
        <v>TinChina Rare Metal Material Co., Ltd.</v>
      </c>
    </row>
    <row r="21" spans="1:28" s="271" customFormat="1" ht="20" customHeight="1">
      <c r="A21" s="215"/>
      <c r="B21" s="348" t="s">
        <v>1251</v>
      </c>
      <c r="C21" s="349" t="s">
        <v>1457</v>
      </c>
      <c r="D21" s="350" t="s">
        <v>1220</v>
      </c>
      <c r="E21" s="216" t="str">
        <f ca="1">IF(ISERROR($V21),"",OFFSET('Smelter Look-up'!$D$4,$V21-4,0)&amp;"")</f>
        <v>CHINA</v>
      </c>
      <c r="F21" s="216" t="str">
        <f ca="1">IF(ISERROR($V21),"",OFFSET('Smelter Look-up'!$E$4,$V21-4,0))</f>
        <v>CID001070</v>
      </c>
      <c r="G21" s="216" t="str">
        <f ca="1">IF(C21=$X$4,"Enter smelter details", IF(ISERROR($V21),"",OFFSET('Smelter Look-up'!$F$4,$V21-4,0)))</f>
        <v>RMI</v>
      </c>
      <c r="H21" s="217">
        <f ca="1">IF(ISERROR($V21),"",OFFSET('Smelter Look-up'!$G$4,$V21-4,0))</f>
        <v>0</v>
      </c>
      <c r="I21" s="218" t="str">
        <f ca="1">IF(ISERROR($V21),"",OFFSET('Smelter Look-up'!$H$4,$V21-4,0))</f>
        <v>Laibin</v>
      </c>
      <c r="J21" s="218" t="str">
        <f ca="1">IF(ISERROR($V21),"",OFFSET('Smelter Look-up'!$I$4,$V21-4,0))</f>
        <v>Guangxi Zhuangzu Zizhiqu</v>
      </c>
      <c r="K21" s="267"/>
      <c r="L21" s="267"/>
      <c r="M21" s="267"/>
      <c r="N21" s="267"/>
      <c r="O21" s="267"/>
      <c r="P21" s="219"/>
      <c r="Q21" s="268"/>
      <c r="R21" s="216" t="str">
        <f ca="1">IF(ISERROR($V21),"",OFFSET('Smelter Look-up'!$C$4,$V21-4,0)&amp;"")</f>
        <v>China Tin Group Co., Ltd.</v>
      </c>
      <c r="S21" s="224" t="str">
        <f t="shared" ca="1" si="0"/>
        <v>CN</v>
      </c>
      <c r="T21" s="224" t="str">
        <f ca="1">IF(B21="","",IF(ISERROR(MATCH($J21,SorP!$B$1:$B$6230,0)),"",INDIRECT("'SorP'!$A$"&amp;MATCH($J21,SorP!$B$1:$B$6230,0))))</f>
        <v>CN-GX</v>
      </c>
      <c r="U21" s="239"/>
      <c r="V21" s="269">
        <f>IF(C21="",NA(),MATCH($B21&amp;$C21,'Smelter Look-up'!$J:$J,0))</f>
        <v>362</v>
      </c>
      <c r="W21" s="270"/>
      <c r="X21" s="270">
        <f t="shared" ca="1" si="1"/>
        <v>0</v>
      </c>
      <c r="Y21" s="270"/>
      <c r="Z21" s="270"/>
      <c r="AB21" s="272" t="str">
        <f t="shared" si="2"/>
        <v>TinChina Tin Group Co., Ltd.</v>
      </c>
    </row>
    <row r="22" spans="1:28" s="271" customFormat="1" ht="20" customHeight="1">
      <c r="A22" s="215"/>
      <c r="B22" s="348" t="s">
        <v>1251</v>
      </c>
      <c r="C22" s="349" t="s">
        <v>2663</v>
      </c>
      <c r="D22" s="350" t="s">
        <v>1220</v>
      </c>
      <c r="E22" s="216" t="str">
        <f ca="1">IF(ISERROR($V22),"",OFFSET('Smelter Look-up'!$D$4,$V22-4,0)&amp;"")</f>
        <v>CHINA</v>
      </c>
      <c r="F22" s="216" t="str">
        <f ca="1">IF(ISERROR($V22),"",OFFSET('Smelter Look-up'!$E$4,$V22-4,0))</f>
        <v>CID001070</v>
      </c>
      <c r="G22" s="216" t="str">
        <f ca="1">IF(C22=$X$4,"Enter smelter details", IF(ISERROR($V22),"",OFFSET('Smelter Look-up'!$F$4,$V22-4,0)))</f>
        <v>RMI</v>
      </c>
      <c r="H22" s="217">
        <f ca="1">IF(ISERROR($V22),"",OFFSET('Smelter Look-up'!$G$4,$V22-4,0))</f>
        <v>0</v>
      </c>
      <c r="I22" s="218" t="str">
        <f ca="1">IF(ISERROR($V22),"",OFFSET('Smelter Look-up'!$H$4,$V22-4,0))</f>
        <v>Laibin</v>
      </c>
      <c r="J22" s="218" t="str">
        <f ca="1">IF(ISERROR($V22),"",OFFSET('Smelter Look-up'!$I$4,$V22-4,0))</f>
        <v>Guangxi Zhuangzu Zizhiqu</v>
      </c>
      <c r="K22" s="267"/>
      <c r="L22" s="267"/>
      <c r="M22" s="267"/>
      <c r="N22" s="267"/>
      <c r="O22" s="267"/>
      <c r="P22" s="219"/>
      <c r="Q22" s="268"/>
      <c r="R22" s="216" t="str">
        <f ca="1">IF(ISERROR($V22),"",OFFSET('Smelter Look-up'!$C$4,$V22-4,0)&amp;"")</f>
        <v>China Tin Group Co., Ltd.</v>
      </c>
      <c r="S22" s="224" t="str">
        <f t="shared" ca="1" si="0"/>
        <v>CN</v>
      </c>
      <c r="T22" s="224" t="str">
        <f ca="1">IF(B22="","",IF(ISERROR(MATCH($J22,SorP!$B$1:$B$6230,0)),"",INDIRECT("'SorP'!$A$"&amp;MATCH($J22,SorP!$B$1:$B$6230,0))))</f>
        <v>CN-GX</v>
      </c>
      <c r="U22" s="239"/>
      <c r="V22" s="269">
        <f>IF(C22="",NA(),MATCH($B22&amp;$C22,'Smelter Look-up'!$J:$J,0))</f>
        <v>361</v>
      </c>
      <c r="W22" s="270"/>
      <c r="X22" s="270">
        <f t="shared" ca="1" si="1"/>
        <v>0</v>
      </c>
      <c r="Y22" s="270"/>
      <c r="Z22" s="270"/>
      <c r="AB22" s="272" t="str">
        <f t="shared" si="2"/>
        <v>TinChina Tin (Hechi)</v>
      </c>
    </row>
    <row r="23" spans="1:28" s="271" customFormat="1" ht="20" customHeight="1">
      <c r="A23" s="215"/>
      <c r="B23" s="348" t="s">
        <v>1251</v>
      </c>
      <c r="C23" s="349" t="s">
        <v>2038</v>
      </c>
      <c r="D23" s="350" t="s">
        <v>996</v>
      </c>
      <c r="E23" s="216" t="str">
        <f ca="1">IF(ISERROR($V23),"",OFFSET('Smelter Look-up'!$D$4,$V23-4,0)&amp;"")</f>
        <v>PERU</v>
      </c>
      <c r="F23" s="216" t="str">
        <f ca="1">IF(ISERROR($V23),"",OFFSET('Smelter Look-up'!$E$4,$V23-4,0))</f>
        <v>CID001182</v>
      </c>
      <c r="G23" s="216" t="str">
        <f ca="1">IF(C23=$X$4,"Enter smelter details", IF(ISERROR($V23),"",OFFSET('Smelter Look-up'!$F$4,$V23-4,0)))</f>
        <v>RMI</v>
      </c>
      <c r="H23" s="217">
        <f ca="1">IF(ISERROR($V23),"",OFFSET('Smelter Look-up'!$G$4,$V23-4,0))</f>
        <v>0</v>
      </c>
      <c r="I23" s="218" t="str">
        <f ca="1">IF(ISERROR($V23),"",OFFSET('Smelter Look-up'!$H$4,$V23-4,0))</f>
        <v>Paracas</v>
      </c>
      <c r="J23" s="218" t="str">
        <f ca="1">IF(ISERROR($V23),"",OFFSET('Smelter Look-up'!$I$4,$V23-4,0))</f>
        <v>Ika</v>
      </c>
      <c r="K23" s="267"/>
      <c r="L23" s="267"/>
      <c r="M23" s="267"/>
      <c r="N23" s="267"/>
      <c r="O23" s="267"/>
      <c r="P23" s="219"/>
      <c r="Q23" s="268"/>
      <c r="R23" s="216" t="str">
        <f ca="1">IF(ISERROR($V23),"",OFFSET('Smelter Look-up'!$C$4,$V23-4,0)&amp;"")</f>
        <v>Minsur</v>
      </c>
      <c r="S23" s="224" t="str">
        <f t="shared" ca="1" si="0"/>
        <v>PE</v>
      </c>
      <c r="T23" s="224" t="str">
        <f ca="1">IF(B23="","",IF(ISERROR(MATCH($J23,SorP!$B$1:$B$6230,0)),"",INDIRECT("'SorP'!$A$"&amp;MATCH($J23,SorP!$B$1:$B$6230,0))))</f>
        <v>PE-ICA</v>
      </c>
      <c r="U23" s="239"/>
      <c r="V23" s="269">
        <f>IF(C23="",NA(),MATCH($B23&amp;$C23,'Smelter Look-up'!$J:$J,0))</f>
        <v>387</v>
      </c>
      <c r="W23" s="270"/>
      <c r="X23" s="270">
        <f t="shared" ca="1" si="1"/>
        <v>0</v>
      </c>
      <c r="Y23" s="270"/>
      <c r="Z23" s="270"/>
      <c r="AB23" s="272" t="str">
        <f t="shared" si="2"/>
        <v>TinFunsur Smelter</v>
      </c>
    </row>
    <row r="24" spans="1:28" s="271" customFormat="1" ht="20" customHeight="1">
      <c r="A24" s="215"/>
      <c r="B24" s="348" t="s">
        <v>1251</v>
      </c>
      <c r="C24" s="349" t="s">
        <v>2965</v>
      </c>
      <c r="D24" s="350" t="s">
        <v>1220</v>
      </c>
      <c r="E24" s="216" t="str">
        <f ca="1">IF(ISERROR($V24),"",OFFSET('Smelter Look-up'!$D$4,$V24-4,0)&amp;"")</f>
        <v>CHINA</v>
      </c>
      <c r="F24" s="216" t="str">
        <f ca="1">IF(ISERROR($V24),"",OFFSET('Smelter Look-up'!$E$4,$V24-4,0))</f>
        <v>CID002848</v>
      </c>
      <c r="G24" s="216" t="str">
        <f ca="1">IF(C24=$X$4,"Enter smelter details", IF(ISERROR($V24),"",OFFSET('Smelter Look-up'!$F$4,$V24-4,0)))</f>
        <v>RMI</v>
      </c>
      <c r="H24" s="217">
        <f ca="1">IF(ISERROR($V24),"",OFFSET('Smelter Look-up'!$G$4,$V24-4,0))</f>
        <v>0</v>
      </c>
      <c r="I24" s="218" t="str">
        <f ca="1">IF(ISERROR($V24),"",OFFSET('Smelter Look-up'!$H$4,$V24-4,0))</f>
        <v>Gejiu</v>
      </c>
      <c r="J24" s="218" t="str">
        <f ca="1">IF(ISERROR($V24),"",OFFSET('Smelter Look-up'!$I$4,$V24-4,0))</f>
        <v>Yunnan Sheng</v>
      </c>
      <c r="K24" s="267"/>
      <c r="L24" s="267"/>
      <c r="M24" s="267"/>
      <c r="N24" s="267"/>
      <c r="O24" s="267"/>
      <c r="P24" s="219"/>
      <c r="Q24" s="268"/>
      <c r="R24" s="216" t="str">
        <f ca="1">IF(ISERROR($V24),"",OFFSET('Smelter Look-up'!$C$4,$V24-4,0)&amp;"")</f>
        <v>Gejiu Fengming Metallurgy Chemical Plant</v>
      </c>
      <c r="S24" s="224" t="str">
        <f t="shared" ca="1" si="0"/>
        <v>CN</v>
      </c>
      <c r="T24" s="224" t="str">
        <f ca="1">IF(B24="","",IF(ISERROR(MATCH($J24,SorP!$B$1:$B$6230,0)),"",INDIRECT("'SorP'!$A$"&amp;MATCH($J24,SorP!$B$1:$B$6230,0))))</f>
        <v>CN-YN</v>
      </c>
      <c r="U24" s="239"/>
      <c r="V24" s="269">
        <f>IF(C24="",NA(),MATCH($B24&amp;$C24,'Smelter Look-up'!$J:$J,0))</f>
        <v>390</v>
      </c>
      <c r="W24" s="270"/>
      <c r="X24" s="270">
        <f t="shared" ca="1" si="1"/>
        <v>0</v>
      </c>
      <c r="Y24" s="270"/>
      <c r="Z24" s="270"/>
      <c r="AB24" s="272" t="str">
        <f t="shared" si="2"/>
        <v>TinGejiu Fengming Metallurgy Chemical Plant</v>
      </c>
    </row>
    <row r="25" spans="1:28" s="271" customFormat="1" ht="20" customHeight="1">
      <c r="A25" s="215"/>
      <c r="B25" s="348" t="s">
        <v>1251</v>
      </c>
      <c r="C25" s="349" t="s">
        <v>2054</v>
      </c>
      <c r="D25" s="350" t="s">
        <v>1220</v>
      </c>
      <c r="E25" s="216" t="str">
        <f ca="1">IF(ISERROR($V25),"",OFFSET('Smelter Look-up'!$D$4,$V25-4,0)&amp;"")</f>
        <v>CHINA</v>
      </c>
      <c r="F25" s="216" t="str">
        <f ca="1">IF(ISERROR($V25),"",OFFSET('Smelter Look-up'!$E$4,$V25-4,0))</f>
        <v>CID001908</v>
      </c>
      <c r="G25" s="216" t="str">
        <f ca="1">IF(C25=$X$4,"Enter smelter details", IF(ISERROR($V25),"",OFFSET('Smelter Look-up'!$F$4,$V25-4,0)))</f>
        <v>RMI</v>
      </c>
      <c r="H25" s="217">
        <f ca="1">IF(ISERROR($V25),"",OFFSET('Smelter Look-up'!$G$4,$V25-4,0))</f>
        <v>0</v>
      </c>
      <c r="I25" s="218" t="str">
        <f ca="1">IF(ISERROR($V25),"",OFFSET('Smelter Look-up'!$H$4,$V25-4,0))</f>
        <v>Gejiu</v>
      </c>
      <c r="J25" s="218" t="str">
        <f ca="1">IF(ISERROR($V25),"",OFFSET('Smelter Look-up'!$I$4,$V25-4,0))</f>
        <v>Yunnan Sheng</v>
      </c>
      <c r="K25" s="267"/>
      <c r="L25" s="267"/>
      <c r="M25" s="267"/>
      <c r="N25" s="267"/>
      <c r="O25" s="267"/>
      <c r="P25" s="219"/>
      <c r="Q25" s="268"/>
      <c r="R25" s="216" t="str">
        <f ca="1">IF(ISERROR($V25),"",OFFSET('Smelter Look-up'!$C$4,$V25-4,0)&amp;"")</f>
        <v>Gejiu Yunxin Nonferrous Electrolysis Co., Ltd.</v>
      </c>
      <c r="S25" s="224" t="str">
        <f t="shared" ca="1" si="0"/>
        <v>CN</v>
      </c>
      <c r="T25" s="224" t="str">
        <f ca="1">IF(B25="","",IF(ISERROR(MATCH($J25,SorP!$B$1:$B$6230,0)),"",INDIRECT("'SorP'!$A$"&amp;MATCH($J25,SorP!$B$1:$B$6230,0))))</f>
        <v>CN-YN</v>
      </c>
      <c r="U25" s="239"/>
      <c r="V25" s="269">
        <f>IF(C25="",NA(),MATCH($B25&amp;$C25,'Smelter Look-up'!$J:$J,0))</f>
        <v>394</v>
      </c>
      <c r="W25" s="270"/>
      <c r="X25" s="270">
        <f t="shared" ca="1" si="1"/>
        <v>0</v>
      </c>
      <c r="Y25" s="270"/>
      <c r="Z25" s="270"/>
      <c r="AB25" s="272" t="str">
        <f t="shared" si="2"/>
        <v>TinGejiu Yunxin Nonferrous Electrolysis Co., Ltd.</v>
      </c>
    </row>
    <row r="26" spans="1:28" s="271" customFormat="1" ht="20" customHeight="1">
      <c r="A26" s="215"/>
      <c r="B26" s="348" t="s">
        <v>1251</v>
      </c>
      <c r="C26" s="349" t="s">
        <v>2028</v>
      </c>
      <c r="D26" s="350" t="s">
        <v>1220</v>
      </c>
      <c r="E26" s="216" t="str">
        <f ca="1">IF(ISERROR($V26),"",OFFSET('Smelter Look-up'!$D$4,$V26-4,0)&amp;"")</f>
        <v>CHINA</v>
      </c>
      <c r="F26" s="216" t="str">
        <f ca="1">IF(ISERROR($V26),"",OFFSET('Smelter Look-up'!$E$4,$V26-4,0))</f>
        <v>CID001070</v>
      </c>
      <c r="G26" s="216" t="str">
        <f ca="1">IF(C26=$X$4,"Enter smelter details", IF(ISERROR($V26),"",OFFSET('Smelter Look-up'!$F$4,$V26-4,0)))</f>
        <v>RMI</v>
      </c>
      <c r="H26" s="217">
        <f ca="1">IF(ISERROR($V26),"",OFFSET('Smelter Look-up'!$G$4,$V26-4,0))</f>
        <v>0</v>
      </c>
      <c r="I26" s="218" t="str">
        <f ca="1">IF(ISERROR($V26),"",OFFSET('Smelter Look-up'!$H$4,$V26-4,0))</f>
        <v>Laibin</v>
      </c>
      <c r="J26" s="218" t="str">
        <f ca="1">IF(ISERROR($V26),"",OFFSET('Smelter Look-up'!$I$4,$V26-4,0))</f>
        <v>Guangxi Zhuangzu Zizhiqu</v>
      </c>
      <c r="K26" s="267"/>
      <c r="L26" s="267"/>
      <c r="M26" s="267"/>
      <c r="N26" s="267"/>
      <c r="O26" s="267"/>
      <c r="P26" s="219"/>
      <c r="Q26" s="268"/>
      <c r="R26" s="216" t="str">
        <f ca="1">IF(ISERROR($V26),"",OFFSET('Smelter Look-up'!$C$4,$V26-4,0)&amp;"")</f>
        <v>China Tin Group Co., Ltd.</v>
      </c>
      <c r="S26" s="224" t="str">
        <f t="shared" ca="1" si="0"/>
        <v>CN</v>
      </c>
      <c r="T26" s="224" t="str">
        <f ca="1">IF(B26="","",IF(ISERROR(MATCH($J26,SorP!$B$1:$B$6230,0)),"",INDIRECT("'SorP'!$A$"&amp;MATCH($J26,SorP!$B$1:$B$6230,0))))</f>
        <v>CN-GX</v>
      </c>
      <c r="U26" s="239"/>
      <c r="V26" s="269">
        <f>IF(C26="",NA(),MATCH($B26&amp;$C26,'Smelter Look-up'!$J:$J,0))</f>
        <v>415</v>
      </c>
      <c r="W26" s="270"/>
      <c r="X26" s="270">
        <f t="shared" ca="1" si="1"/>
        <v>0</v>
      </c>
      <c r="Y26" s="270"/>
      <c r="Z26" s="270"/>
      <c r="AB26" s="272" t="str">
        <f t="shared" si="2"/>
        <v>TinLiuzhhou China Tin</v>
      </c>
    </row>
    <row r="27" spans="1:28" s="271" customFormat="1" ht="20" customHeight="1">
      <c r="A27" s="215"/>
      <c r="B27" s="348" t="s">
        <v>1251</v>
      </c>
      <c r="C27" s="349" t="s">
        <v>934</v>
      </c>
      <c r="D27" s="350" t="s">
        <v>1235</v>
      </c>
      <c r="E27" s="216" t="str">
        <f ca="1">IF(ISERROR($V27),"",OFFSET('Smelter Look-up'!$D$4,$V27-4,0)&amp;"")</f>
        <v>MALAYSIA</v>
      </c>
      <c r="F27" s="216" t="str">
        <f ca="1">IF(ISERROR($V27),"",OFFSET('Smelter Look-up'!$E$4,$V27-4,0))</f>
        <v>CID001105</v>
      </c>
      <c r="G27" s="216" t="str">
        <f ca="1">IF(C27=$X$4,"Enter smelter details", IF(ISERROR($V27),"",OFFSET('Smelter Look-up'!$F$4,$V27-4,0)))</f>
        <v>RMI</v>
      </c>
      <c r="H27" s="217">
        <f ca="1">IF(ISERROR($V27),"",OFFSET('Smelter Look-up'!$G$4,$V27-4,0))</f>
        <v>0</v>
      </c>
      <c r="I27" s="218" t="str">
        <f ca="1">IF(ISERROR($V27),"",OFFSET('Smelter Look-up'!$H$4,$V27-4,0))</f>
        <v>Butterworth</v>
      </c>
      <c r="J27" s="218" t="str">
        <f ca="1">IF(ISERROR($V27),"",OFFSET('Smelter Look-up'!$I$4,$V27-4,0))</f>
        <v>Pulau Pinang</v>
      </c>
      <c r="K27" s="267"/>
      <c r="L27" s="267"/>
      <c r="M27" s="267"/>
      <c r="N27" s="267"/>
      <c r="O27" s="267"/>
      <c r="P27" s="219"/>
      <c r="Q27" s="268"/>
      <c r="R27" s="216" t="str">
        <f ca="1">IF(ISERROR($V27),"",OFFSET('Smelter Look-up'!$C$4,$V27-4,0)&amp;"")</f>
        <v>Malaysia Smelting Corporation (MSC)</v>
      </c>
      <c r="S27" s="224" t="str">
        <f t="shared" ca="1" si="0"/>
        <v>MY</v>
      </c>
      <c r="T27" s="224" t="str">
        <f ca="1">IF(B27="","",IF(ISERROR(MATCH($J27,SorP!$B$1:$B$6230,0)),"",INDIRECT("'SorP'!$A$"&amp;MATCH($J27,SorP!$B$1:$B$6230,0))))</f>
        <v>MY-07</v>
      </c>
      <c r="U27" s="239"/>
      <c r="V27" s="269">
        <f>IF(C27="",NA(),MATCH($B27&amp;$C27,'Smelter Look-up'!$J:$J,0))</f>
        <v>418</v>
      </c>
      <c r="W27" s="270"/>
      <c r="X27" s="270">
        <f t="shared" ca="1" si="1"/>
        <v>0</v>
      </c>
      <c r="Y27" s="270"/>
      <c r="Z27" s="270"/>
      <c r="AB27" s="272" t="str">
        <f t="shared" si="2"/>
        <v>TinMalaysia Smelting Corporation (MSC)</v>
      </c>
    </row>
    <row r="28" spans="1:28" s="271" customFormat="1" ht="20" customHeight="1">
      <c r="A28" s="215"/>
      <c r="B28" s="348" t="s">
        <v>1251</v>
      </c>
      <c r="C28" s="349" t="s">
        <v>1285</v>
      </c>
      <c r="D28" s="350" t="s">
        <v>1228</v>
      </c>
      <c r="E28" s="216" t="str">
        <f ca="1">IF(ISERROR($V28),"",OFFSET('Smelter Look-up'!$D$4,$V28-4,0)&amp;"")</f>
        <v>JAPAN</v>
      </c>
      <c r="F28" s="216" t="str">
        <f ca="1">IF(ISERROR($V28),"",OFFSET('Smelter Look-up'!$E$4,$V28-4,0))</f>
        <v>CID001191</v>
      </c>
      <c r="G28" s="216" t="str">
        <f ca="1">IF(C28=$X$4,"Enter smelter details", IF(ISERROR($V28),"",OFFSET('Smelter Look-up'!$F$4,$V28-4,0)))</f>
        <v>RMI</v>
      </c>
      <c r="H28" s="217">
        <f ca="1">IF(ISERROR($V28),"",OFFSET('Smelter Look-up'!$G$4,$V28-4,0))</f>
        <v>0</v>
      </c>
      <c r="I28" s="218" t="str">
        <f ca="1">IF(ISERROR($V28),"",OFFSET('Smelter Look-up'!$H$4,$V28-4,0))</f>
        <v>Asago</v>
      </c>
      <c r="J28" s="218" t="str">
        <f ca="1">IF(ISERROR($V28),"",OFFSET('Smelter Look-up'!$I$4,$V28-4,0))</f>
        <v>Hyogo</v>
      </c>
      <c r="K28" s="267"/>
      <c r="L28" s="267"/>
      <c r="M28" s="267"/>
      <c r="N28" s="267"/>
      <c r="O28" s="267"/>
      <c r="P28" s="219"/>
      <c r="Q28" s="268"/>
      <c r="R28" s="216" t="str">
        <f ca="1">IF(ISERROR($V28),"",OFFSET('Smelter Look-up'!$C$4,$V28-4,0)&amp;"")</f>
        <v>Mitsubishi Materials Corporation</v>
      </c>
      <c r="S28" s="224" t="str">
        <f t="shared" ca="1" si="0"/>
        <v>JP</v>
      </c>
      <c r="T28" s="224" t="str">
        <f ca="1">IF(B28="","",IF(ISERROR(MATCH($J28,SorP!$B$1:$B$6230,0)),"",INDIRECT("'SorP'!$A$"&amp;MATCH($J28,SorP!$B$1:$B$6230,0))))</f>
        <v>JP-28</v>
      </c>
      <c r="U28" s="239"/>
      <c r="V28" s="269">
        <f>IF(C28="",NA(),MATCH($B28&amp;$C28,'Smelter Look-up'!$J:$J,0))</f>
        <v>429</v>
      </c>
      <c r="W28" s="270"/>
      <c r="X28" s="270">
        <f t="shared" ca="1" si="1"/>
        <v>0</v>
      </c>
      <c r="Y28" s="270"/>
      <c r="Z28" s="270"/>
      <c r="AB28" s="272" t="str">
        <f t="shared" si="2"/>
        <v>TinMitsubishi Materials Corporation</v>
      </c>
    </row>
    <row r="29" spans="1:28" s="271" customFormat="1" ht="20" customHeight="1">
      <c r="A29" s="215"/>
      <c r="B29" s="348" t="s">
        <v>1251</v>
      </c>
      <c r="C29" s="349" t="s">
        <v>2012</v>
      </c>
      <c r="D29" s="350" t="s">
        <v>3092</v>
      </c>
      <c r="E29" s="216" t="str">
        <f ca="1">IF(ISERROR($V29),"",OFFSET('Smelter Look-up'!$D$4,$V29-4,0)&amp;"")</f>
        <v>UNITED STATES OF AMERICA</v>
      </c>
      <c r="F29" s="216" t="str">
        <f ca="1">IF(ISERROR($V29),"",OFFSET('Smelter Look-up'!$E$4,$V29-4,0))</f>
        <v>CID000292</v>
      </c>
      <c r="G29" s="216" t="str">
        <f ca="1">IF(C29=$X$4,"Enter smelter details", IF(ISERROR($V29),"",OFFSET('Smelter Look-up'!$F$4,$V29-4,0)))</f>
        <v>RMI</v>
      </c>
      <c r="H29" s="217">
        <f ca="1">IF(ISERROR($V29),"",OFFSET('Smelter Look-up'!$G$4,$V29-4,0))</f>
        <v>0</v>
      </c>
      <c r="I29" s="218" t="str">
        <f ca="1">IF(ISERROR($V29),"",OFFSET('Smelter Look-up'!$H$4,$V29-4,0))</f>
        <v>Altoona</v>
      </c>
      <c r="J29" s="218" t="str">
        <f ca="1">IF(ISERROR($V29),"",OFFSET('Smelter Look-up'!$I$4,$V29-4,0))</f>
        <v>Pennsylvania</v>
      </c>
      <c r="K29" s="267"/>
      <c r="L29" s="267"/>
      <c r="M29" s="267"/>
      <c r="N29" s="267"/>
      <c r="O29" s="267"/>
      <c r="P29" s="219"/>
      <c r="Q29" s="268"/>
      <c r="R29" s="216" t="str">
        <f ca="1">IF(ISERROR($V29),"",OFFSET('Smelter Look-up'!$C$4,$V29-4,0)&amp;"")</f>
        <v>Alpha</v>
      </c>
      <c r="S29" s="224" t="str">
        <f t="shared" ca="1" si="0"/>
        <v>US</v>
      </c>
      <c r="T29" s="224" t="str">
        <f ca="1">IF(B29="","",IF(ISERROR(MATCH($J29,SorP!$B$1:$B$6230,0)),"",INDIRECT("'SorP'!$A$"&amp;MATCH($J29,SorP!$B$1:$B$6230,0))))</f>
        <v>US-PA</v>
      </c>
      <c r="U29" s="239"/>
      <c r="V29" s="269">
        <f>IF(C29="",NA(),MATCH($B29&amp;$C29,'Smelter Look-up'!$J:$J,0))</f>
        <v>366</v>
      </c>
      <c r="W29" s="270"/>
      <c r="X29" s="270">
        <f t="shared" ca="1" si="1"/>
        <v>0</v>
      </c>
      <c r="Y29" s="270"/>
      <c r="Z29" s="270"/>
      <c r="AB29" s="272" t="str">
        <f t="shared" si="2"/>
        <v>TinCookson (Alpha Metals Taiwan)</v>
      </c>
    </row>
    <row r="30" spans="1:28" s="271" customFormat="1" ht="20" customHeight="1">
      <c r="A30" s="215"/>
      <c r="B30" s="348" t="s">
        <v>1251</v>
      </c>
      <c r="C30" s="349" t="s">
        <v>2018</v>
      </c>
      <c r="D30" s="350" t="s">
        <v>1228</v>
      </c>
      <c r="E30" s="216" t="str">
        <f ca="1">IF(ISERROR($V30),"",OFFSET('Smelter Look-up'!$D$4,$V30-4,0)&amp;"")</f>
        <v>JAPAN</v>
      </c>
      <c r="F30" s="216" t="str">
        <f ca="1">IF(ISERROR($V30),"",OFFSET('Smelter Look-up'!$E$4,$V30-4,0))</f>
        <v>CID000402</v>
      </c>
      <c r="G30" s="216" t="str">
        <f ca="1">IF(C30=$X$4,"Enter smelter details", IF(ISERROR($V30),"",OFFSET('Smelter Look-up'!$F$4,$V30-4,0)))</f>
        <v>RMI</v>
      </c>
      <c r="H30" s="217">
        <f ca="1">IF(ISERROR($V30),"",OFFSET('Smelter Look-up'!$G$4,$V30-4,0))</f>
        <v>0</v>
      </c>
      <c r="I30" s="218" t="str">
        <f ca="1">IF(ISERROR($V30),"",OFFSET('Smelter Look-up'!$H$4,$V30-4,0))</f>
        <v>Kosaka</v>
      </c>
      <c r="J30" s="218" t="str">
        <f ca="1">IF(ISERROR($V30),"",OFFSET('Smelter Look-up'!$I$4,$V30-4,0))</f>
        <v>Akita</v>
      </c>
      <c r="K30" s="267"/>
      <c r="L30" s="267"/>
      <c r="M30" s="267"/>
      <c r="N30" s="267"/>
      <c r="O30" s="267"/>
      <c r="P30" s="219"/>
      <c r="Q30" s="268"/>
      <c r="R30" s="216" t="str">
        <f ca="1">IF(ISERROR($V30),"",OFFSET('Smelter Look-up'!$C$4,$V30-4,0)&amp;"")</f>
        <v>Dowa</v>
      </c>
      <c r="S30" s="224" t="str">
        <f t="shared" ca="1" si="0"/>
        <v>JP</v>
      </c>
      <c r="T30" s="224" t="str">
        <f ca="1">IF(B30="","",IF(ISERROR(MATCH($J30,SorP!$B$1:$B$6230,0)),"",INDIRECT("'SorP'!$A$"&amp;MATCH($J30,SorP!$B$1:$B$6230,0))))</f>
        <v>JP-05</v>
      </c>
      <c r="U30" s="239"/>
      <c r="V30" s="269">
        <f>IF(C30="",NA(),MATCH($B30&amp;$C30,'Smelter Look-up'!$J:$J,0))</f>
        <v>378</v>
      </c>
      <c r="W30" s="270"/>
      <c r="X30" s="270">
        <f t="shared" ca="1" si="1"/>
        <v>0</v>
      </c>
      <c r="Y30" s="270"/>
      <c r="Z30" s="270"/>
      <c r="AB30" s="272" t="str">
        <f t="shared" si="2"/>
        <v>TinDowa Metaltech Co., Ltd.</v>
      </c>
    </row>
    <row r="31" spans="1:28" s="271" customFormat="1" ht="20" customHeight="1">
      <c r="A31" s="215"/>
      <c r="B31" s="348" t="s">
        <v>1251</v>
      </c>
      <c r="C31" s="349" t="s">
        <v>2966</v>
      </c>
      <c r="D31" s="350" t="s">
        <v>1220</v>
      </c>
      <c r="E31" s="216" t="str">
        <f ca="1">IF(ISERROR($V31),"",OFFSET('Smelter Look-up'!$D$4,$V31-4,0)&amp;"")</f>
        <v>CHINA</v>
      </c>
      <c r="F31" s="216" t="str">
        <f ca="1">IF(ISERROR($V31),"",OFFSET('Smelter Look-up'!$E$4,$V31-4,0))</f>
        <v>CID001908</v>
      </c>
      <c r="G31" s="216" t="str">
        <f ca="1">IF(C31=$X$4,"Enter smelter details", IF(ISERROR($V31),"",OFFSET('Smelter Look-up'!$F$4,$V31-4,0)))</f>
        <v>RMI</v>
      </c>
      <c r="H31" s="217">
        <f ca="1">IF(ISERROR($V31),"",OFFSET('Smelter Look-up'!$G$4,$V31-4,0))</f>
        <v>0</v>
      </c>
      <c r="I31" s="218" t="str">
        <f ca="1">IF(ISERROR($V31),"",OFFSET('Smelter Look-up'!$H$4,$V31-4,0))</f>
        <v>Gejiu</v>
      </c>
      <c r="J31" s="218" t="str">
        <f ca="1">IF(ISERROR($V31),"",OFFSET('Smelter Look-up'!$I$4,$V31-4,0))</f>
        <v>Yunnan Sheng</v>
      </c>
      <c r="K31" s="267"/>
      <c r="L31" s="267"/>
      <c r="M31" s="267"/>
      <c r="N31" s="267"/>
      <c r="O31" s="267"/>
      <c r="P31" s="219"/>
      <c r="Q31" s="268"/>
      <c r="R31" s="216" t="str">
        <f ca="1">IF(ISERROR($V31),"",OFFSET('Smelter Look-up'!$C$4,$V31-4,0)&amp;"")</f>
        <v>Gejiu Yunxin Nonferrous Electrolysis Co., Ltd.</v>
      </c>
      <c r="S31" s="224" t="str">
        <f t="shared" ca="1" si="0"/>
        <v>CN</v>
      </c>
      <c r="T31" s="224" t="str">
        <f ca="1">IF(B31="","",IF(ISERROR(MATCH($J31,SorP!$B$1:$B$6230,0)),"",INDIRECT("'SorP'!$A$"&amp;MATCH($J31,SorP!$B$1:$B$6230,0))))</f>
        <v>CN-YN</v>
      </c>
      <c r="U31" s="239"/>
      <c r="V31" s="269">
        <f>IF(C31="",NA(),MATCH($B31&amp;$C31,'Smelter Look-up'!$J:$J,0))</f>
        <v>504</v>
      </c>
      <c r="W31" s="270"/>
      <c r="X31" s="270">
        <f t="shared" ca="1" si="1"/>
        <v>0</v>
      </c>
      <c r="Y31" s="270"/>
      <c r="Z31" s="270"/>
      <c r="AB31" s="272" t="str">
        <f t="shared" si="2"/>
        <v>TinYunNan Gejiu Yunxin Electrolyze Limited</v>
      </c>
    </row>
    <row r="32" spans="1:28" s="271" customFormat="1" ht="20" customHeight="1">
      <c r="A32" s="215"/>
      <c r="B32" s="348" t="s">
        <v>1251</v>
      </c>
      <c r="C32" s="349" t="s">
        <v>2011</v>
      </c>
      <c r="D32" s="350" t="s">
        <v>3092</v>
      </c>
      <c r="E32" s="216" t="str">
        <f ca="1">IF(ISERROR($V32),"",OFFSET('Smelter Look-up'!$D$4,$V32-4,0)&amp;"")</f>
        <v>UNITED STATES OF AMERICA</v>
      </c>
      <c r="F32" s="216" t="str">
        <f ca="1">IF(ISERROR($V32),"",OFFSET('Smelter Look-up'!$E$4,$V32-4,0))</f>
        <v>CID000292</v>
      </c>
      <c r="G32" s="216" t="str">
        <f ca="1">IF(C32=$X$4,"Enter smelter details", IF(ISERROR($V32),"",OFFSET('Smelter Look-up'!$F$4,$V32-4,0)))</f>
        <v>RMI</v>
      </c>
      <c r="H32" s="217">
        <f ca="1">IF(ISERROR($V32),"",OFFSET('Smelter Look-up'!$G$4,$V32-4,0))</f>
        <v>0</v>
      </c>
      <c r="I32" s="218" t="str">
        <f ca="1">IF(ISERROR($V32),"",OFFSET('Smelter Look-up'!$H$4,$V32-4,0))</f>
        <v>Altoona</v>
      </c>
      <c r="J32" s="218" t="str">
        <f ca="1">IF(ISERROR($V32),"",OFFSET('Smelter Look-up'!$I$4,$V32-4,0))</f>
        <v>Pennsylvania</v>
      </c>
      <c r="K32" s="267"/>
      <c r="L32" s="267"/>
      <c r="M32" s="267"/>
      <c r="N32" s="267"/>
      <c r="O32" s="267"/>
      <c r="P32" s="219"/>
      <c r="Q32" s="268"/>
      <c r="R32" s="216" t="str">
        <f ca="1">IF(ISERROR($V32),"",OFFSET('Smelter Look-up'!$C$4,$V32-4,0)&amp;"")</f>
        <v>Alpha</v>
      </c>
      <c r="S32" s="224" t="str">
        <f t="shared" ca="1" si="0"/>
        <v>US</v>
      </c>
      <c r="T32" s="224" t="str">
        <f ca="1">IF(B32="","",IF(ISERROR(MATCH($J32,SorP!$B$1:$B$6230,0)),"",INDIRECT("'SorP'!$A$"&amp;MATCH($J32,SorP!$B$1:$B$6230,0))))</f>
        <v>US-PA</v>
      </c>
      <c r="U32" s="239"/>
      <c r="V32" s="269">
        <f>IF(C32="",NA(),MATCH($B32&amp;$C32,'Smelter Look-up'!$J:$J,0))</f>
        <v>351</v>
      </c>
      <c r="W32" s="270"/>
      <c r="X32" s="270">
        <f t="shared" ca="1" si="1"/>
        <v>0</v>
      </c>
      <c r="Y32" s="270"/>
      <c r="Z32" s="270"/>
      <c r="AB32" s="272" t="str">
        <f t="shared" si="2"/>
        <v>TinAlpha Metals</v>
      </c>
    </row>
    <row r="33" spans="1:28" s="271" customFormat="1" ht="20" customHeight="1">
      <c r="A33" s="215"/>
      <c r="B33" s="348" t="s">
        <v>1251</v>
      </c>
      <c r="C33" s="349" t="s">
        <v>41</v>
      </c>
      <c r="D33" s="350" t="s">
        <v>1220</v>
      </c>
      <c r="E33" s="216" t="str">
        <f ca="1">IF(ISERROR($V33),"",OFFSET('Smelter Look-up'!$D$4,$V33-4,0)&amp;"")</f>
        <v>CHINA</v>
      </c>
      <c r="F33" s="216" t="str">
        <f ca="1">IF(ISERROR($V33),"",OFFSET('Smelter Look-up'!$E$4,$V33-4,0))</f>
        <v>CID002180</v>
      </c>
      <c r="G33" s="216" t="str">
        <f ca="1">IF(C33=$X$4,"Enter smelter details", IF(ISERROR($V33),"",OFFSET('Smelter Look-up'!$F$4,$V33-4,0)))</f>
        <v>RMI</v>
      </c>
      <c r="H33" s="217">
        <f ca="1">IF(ISERROR($V33),"",OFFSET('Smelter Look-up'!$G$4,$V33-4,0))</f>
        <v>0</v>
      </c>
      <c r="I33" s="218" t="str">
        <f ca="1">IF(ISERROR($V33),"",OFFSET('Smelter Look-up'!$H$4,$V33-4,0))</f>
        <v>Gejiu</v>
      </c>
      <c r="J33" s="218" t="str">
        <f ca="1">IF(ISERROR($V33),"",OFFSET('Smelter Look-up'!$I$4,$V33-4,0))</f>
        <v>Yunnan Sheng</v>
      </c>
      <c r="K33" s="267"/>
      <c r="L33" s="267"/>
      <c r="M33" s="267"/>
      <c r="N33" s="267"/>
      <c r="O33" s="267"/>
      <c r="P33" s="219"/>
      <c r="Q33" s="268"/>
      <c r="R33" s="216" t="str">
        <f ca="1">IF(ISERROR($V33),"",OFFSET('Smelter Look-up'!$C$4,$V33-4,0)&amp;"")</f>
        <v>Yunnan Tin Company Limited</v>
      </c>
      <c r="S33" s="224" t="str">
        <f t="shared" ca="1" si="0"/>
        <v>CN</v>
      </c>
      <c r="T33" s="224" t="str">
        <f ca="1">IF(B33="","",IF(ISERROR(MATCH($J33,SorP!$B$1:$B$6230,0)),"",INDIRECT("'SorP'!$A$"&amp;MATCH($J33,SorP!$B$1:$B$6230,0))))</f>
        <v>CN-YN</v>
      </c>
      <c r="U33" s="239"/>
      <c r="V33" s="269">
        <f>IF(C33="",NA(),MATCH($B33&amp;$C33,'Smelter Look-up'!$J:$J,0))</f>
        <v>364</v>
      </c>
      <c r="W33" s="270"/>
      <c r="X33" s="270">
        <f t="shared" ca="1" si="1"/>
        <v>0</v>
      </c>
      <c r="Y33" s="270"/>
      <c r="Z33" s="270"/>
      <c r="AB33" s="272" t="str">
        <f t="shared" si="2"/>
        <v>TinChina Yunnan Tin Co Ltd.</v>
      </c>
    </row>
    <row r="34" spans="1:28" s="271" customFormat="1" ht="20" customHeight="1">
      <c r="A34" s="215"/>
      <c r="B34" s="348" t="s">
        <v>1251</v>
      </c>
      <c r="C34" s="355" t="s">
        <v>2963</v>
      </c>
      <c r="D34" s="350" t="s">
        <v>1220</v>
      </c>
      <c r="E34" s="216" t="str">
        <f ca="1">IF(ISERROR($V34),"",OFFSET('Smelter Look-up'!$D$4,$V34-4,0)&amp;"")</f>
        <v>CHINA</v>
      </c>
      <c r="F34" s="216" t="str">
        <f ca="1">IF(ISERROR($V34),"",OFFSET('Smelter Look-up'!$E$4,$V34-4,0))</f>
        <v>CID000228</v>
      </c>
      <c r="G34" s="216" t="str">
        <f ca="1">IF(C34=$X$4,"Enter smelter details", IF(ISERROR($V34),"",OFFSET('Smelter Look-up'!$F$4,$V34-4,0)))</f>
        <v>RMI</v>
      </c>
      <c r="H34" s="217">
        <f ca="1">IF(ISERROR($V34),"",OFFSET('Smelter Look-up'!$G$4,$V34-4,0))</f>
        <v>0</v>
      </c>
      <c r="I34" s="218" t="str">
        <f ca="1">IF(ISERROR($V34),"",OFFSET('Smelter Look-up'!$H$4,$V34-4,0))</f>
        <v>Chenzhou</v>
      </c>
      <c r="J34" s="218" t="str">
        <f ca="1">IF(ISERROR($V34),"",OFFSET('Smelter Look-up'!$I$4,$V34-4,0))</f>
        <v>Hunan Sheng</v>
      </c>
      <c r="K34" s="267"/>
      <c r="L34" s="267"/>
      <c r="M34" s="267"/>
      <c r="N34" s="267"/>
      <c r="O34" s="267"/>
      <c r="P34" s="219"/>
      <c r="Q34" s="268"/>
      <c r="R34" s="216" t="str">
        <f ca="1">IF(ISERROR($V34),"",OFFSET('Smelter Look-up'!$C$4,$V34-4,0)&amp;"")</f>
        <v>Chenzhou Yunxiang Mining and Metallurgy Co., Ltd.</v>
      </c>
      <c r="S34" s="224" t="str">
        <f t="shared" ca="1" si="0"/>
        <v>CN</v>
      </c>
      <c r="T34" s="224" t="str">
        <f ca="1">IF(B34="","",IF(ISERROR(MATCH($J34,SorP!$B$1:$B$6230,0)),"",INDIRECT("'SorP'!$A$"&amp;MATCH($J34,SorP!$B$1:$B$6230,0))))</f>
        <v>CN-HN</v>
      </c>
      <c r="U34" s="239"/>
      <c r="V34" s="269">
        <f>IF(C34="",NA(),MATCH($B34&amp;$C34,'Smelter Look-up'!$J:$J,0))</f>
        <v>359</v>
      </c>
      <c r="W34" s="270"/>
      <c r="X34" s="270">
        <f t="shared" ca="1" si="1"/>
        <v>0</v>
      </c>
      <c r="Y34" s="270"/>
      <c r="Z34" s="270"/>
      <c r="AB34" s="272" t="str">
        <f t="shared" si="2"/>
        <v>TinChenzhou Yunxiang Mining and Metallurgy Co., Ltd.</v>
      </c>
    </row>
    <row r="35" spans="1:28" s="271" customFormat="1" ht="19" customHeight="1">
      <c r="A35" s="215"/>
      <c r="B35" s="348" t="s">
        <v>1251</v>
      </c>
      <c r="C35" s="349" t="s">
        <v>3229</v>
      </c>
      <c r="D35" s="351" t="s">
        <v>1220</v>
      </c>
      <c r="E35" s="353" t="s">
        <v>1220</v>
      </c>
      <c r="F35" s="353" t="s">
        <v>899</v>
      </c>
      <c r="G35" s="353" t="s">
        <v>14357</v>
      </c>
      <c r="H35" s="354"/>
      <c r="I35" s="218" t="s">
        <v>15510</v>
      </c>
      <c r="J35" s="218" t="s">
        <v>15242</v>
      </c>
      <c r="K35" s="267"/>
      <c r="L35" s="267"/>
      <c r="M35" s="267"/>
      <c r="N35" s="267"/>
      <c r="O35" s="267"/>
      <c r="P35" s="219"/>
      <c r="Q35" s="268"/>
      <c r="R35" s="216"/>
      <c r="S35" s="224"/>
      <c r="T35" s="224"/>
      <c r="U35" s="239"/>
      <c r="V35" s="269"/>
      <c r="W35" s="270"/>
      <c r="X35" s="270"/>
      <c r="Y35" s="270"/>
      <c r="Z35" s="270"/>
      <c r="AB35" s="272"/>
    </row>
    <row r="36" spans="1:28" s="271" customFormat="1" ht="20" customHeight="1">
      <c r="A36" s="215"/>
      <c r="B36" s="348" t="s">
        <v>1251</v>
      </c>
      <c r="C36" s="349" t="s">
        <v>53</v>
      </c>
      <c r="D36" s="351" t="s">
        <v>1220</v>
      </c>
      <c r="E36" s="353" t="s">
        <v>3092</v>
      </c>
      <c r="F36" s="353" t="s">
        <v>860</v>
      </c>
      <c r="G36" s="353" t="s">
        <v>14357</v>
      </c>
      <c r="H36" s="354"/>
      <c r="I36" s="218" t="s">
        <v>2008</v>
      </c>
      <c r="J36" s="218" t="s">
        <v>1983</v>
      </c>
      <c r="K36" s="267"/>
      <c r="L36" s="267"/>
      <c r="M36" s="267"/>
      <c r="N36" s="267"/>
      <c r="O36" s="267"/>
      <c r="P36" s="219"/>
      <c r="Q36" s="268"/>
      <c r="R36" s="216"/>
      <c r="S36" s="224"/>
      <c r="T36" s="224"/>
      <c r="U36" s="239"/>
      <c r="V36" s="269"/>
      <c r="W36" s="270"/>
      <c r="X36" s="270"/>
      <c r="Y36" s="270"/>
      <c r="Z36" s="270"/>
      <c r="AB36" s="272"/>
    </row>
    <row r="37" spans="1:28" s="271" customFormat="1" ht="20" customHeight="1">
      <c r="A37" s="215"/>
      <c r="B37" s="348" t="s">
        <v>1250</v>
      </c>
      <c r="C37" s="349" t="s">
        <v>15489</v>
      </c>
      <c r="D37" s="351" t="s">
        <v>1220</v>
      </c>
      <c r="E37" s="353" t="s">
        <v>1220</v>
      </c>
      <c r="F37" s="353" t="s">
        <v>838</v>
      </c>
      <c r="G37" s="353" t="s">
        <v>14357</v>
      </c>
      <c r="H37" s="354">
        <v>0</v>
      </c>
      <c r="I37" s="218" t="s">
        <v>1928</v>
      </c>
      <c r="J37" s="218" t="s">
        <v>15235</v>
      </c>
      <c r="K37" s="267"/>
      <c r="L37" s="267"/>
      <c r="M37" s="267"/>
      <c r="N37" s="267"/>
      <c r="O37" s="267"/>
      <c r="P37" s="219"/>
      <c r="Q37" s="268"/>
      <c r="R37" s="216" t="str">
        <f ca="1">IF(ISERROR($V37),"",OFFSET('Smelter Look-up'!$C$4,$V37-4,0)&amp;"")</f>
        <v>Zhongyuan Gold Smelter of Zhongjin Gold Corporation</v>
      </c>
      <c r="S37" s="224" t="str">
        <f t="shared" ca="1" si="0"/>
        <v>CN</v>
      </c>
      <c r="T37" s="224" t="str">
        <f ca="1">IF(B37="","",IF(ISERROR(MATCH($J37,SorP!$B$1:$B$6230,0)),"",INDIRECT("'SorP'!$A$"&amp;MATCH($J37,SorP!$B$1:$B$6230,0))))</f>
        <v>CN-HA</v>
      </c>
      <c r="U37" s="239"/>
      <c r="V37" s="269">
        <f>IF(C37="",NA(),MATCH($B37&amp;$C37,'Smelter Look-up'!$J:$J,0))</f>
        <v>48</v>
      </c>
      <c r="W37" s="270"/>
      <c r="X37" s="270">
        <f t="shared" si="1"/>
        <v>0</v>
      </c>
      <c r="Y37" s="270"/>
      <c r="Z37" s="270"/>
      <c r="AB37" s="272" t="str">
        <f t="shared" si="2"/>
        <v>GoldChina Henan Zhongyuan Gold Smelter</v>
      </c>
    </row>
    <row r="38" spans="1:28" s="271" customFormat="1" ht="20" customHeight="1">
      <c r="A38" s="215"/>
      <c r="B38" s="348" t="s">
        <v>1250</v>
      </c>
      <c r="C38" s="349" t="s">
        <v>23</v>
      </c>
      <c r="D38" s="351" t="s">
        <v>1220</v>
      </c>
      <c r="E38" s="353" t="s">
        <v>1220</v>
      </c>
      <c r="F38" s="353" t="s">
        <v>826</v>
      </c>
      <c r="G38" s="353" t="s">
        <v>14357</v>
      </c>
      <c r="H38" s="354">
        <v>0</v>
      </c>
      <c r="I38" s="218" t="s">
        <v>1895</v>
      </c>
      <c r="J38" s="218" t="s">
        <v>15234</v>
      </c>
      <c r="K38" s="267"/>
      <c r="L38" s="267"/>
      <c r="M38" s="267"/>
      <c r="N38" s="267"/>
      <c r="O38" s="267"/>
      <c r="P38" s="219"/>
      <c r="Q38" s="268"/>
      <c r="R38" s="216" t="str">
        <f ca="1">IF(ISERROR($V38),"",OFFSET('Smelter Look-up'!$C$4,$V38-4,0)&amp;"")</f>
        <v>The Refinery of Shandong Gold Mining Co., Ltd.</v>
      </c>
      <c r="S38" s="224" t="str">
        <f t="shared" ca="1" si="0"/>
        <v>CN</v>
      </c>
      <c r="T38" s="224" t="str">
        <f ca="1">IF(B38="","",IF(ISERROR(MATCH($J38,SorP!$B$1:$B$6230,0)),"",INDIRECT("'SorP'!$A$"&amp;MATCH($J38,SorP!$B$1:$B$6230,0))))</f>
        <v>CN-SD</v>
      </c>
      <c r="U38" s="239"/>
      <c r="V38" s="269">
        <f>IF(C38="",NA(),MATCH($B38&amp;$C38,'Smelter Look-up'!$J:$J,0))</f>
        <v>49</v>
      </c>
      <c r="W38" s="270"/>
      <c r="X38" s="270">
        <f t="shared" si="1"/>
        <v>0</v>
      </c>
      <c r="Y38" s="270"/>
      <c r="Z38" s="270"/>
      <c r="AB38" s="272" t="str">
        <f t="shared" si="2"/>
        <v>GoldChina's Shandong Gold Mining Co., Ltd</v>
      </c>
    </row>
    <row r="39" spans="1:28" s="271" customFormat="1" ht="20" customHeight="1">
      <c r="A39" s="215"/>
      <c r="B39" s="348" t="s">
        <v>1250</v>
      </c>
      <c r="C39" s="349" t="s">
        <v>1285</v>
      </c>
      <c r="D39" s="351" t="s">
        <v>1228</v>
      </c>
      <c r="E39" s="353" t="s">
        <v>1228</v>
      </c>
      <c r="F39" s="353" t="s">
        <v>802</v>
      </c>
      <c r="G39" s="353" t="s">
        <v>14357</v>
      </c>
      <c r="H39" s="354">
        <v>0</v>
      </c>
      <c r="I39" s="218" t="s">
        <v>1865</v>
      </c>
      <c r="J39" s="218" t="s">
        <v>2645</v>
      </c>
      <c r="K39" s="267"/>
      <c r="L39" s="267"/>
      <c r="M39" s="267"/>
      <c r="N39" s="267"/>
      <c r="O39" s="267"/>
      <c r="P39" s="219"/>
      <c r="Q39" s="268"/>
      <c r="R39" s="216" t="str">
        <f ca="1">IF(ISERROR($V39),"",OFFSET('Smelter Look-up'!$C$4,$V39-4,0)&amp;"")</f>
        <v>Mitsubishi Materials Corporation</v>
      </c>
      <c r="S39" s="224" t="str">
        <f t="shared" ca="1" si="0"/>
        <v>JP</v>
      </c>
      <c r="T39" s="224" t="str">
        <f ca="1">IF(B39="","",IF(ISERROR(MATCH($J39,SorP!$B$1:$B$6230,0)),"",INDIRECT("'SorP'!$A$"&amp;MATCH($J39,SorP!$B$1:$B$6230,0))))</f>
        <v>JP-37</v>
      </c>
      <c r="U39" s="239"/>
      <c r="V39" s="269">
        <f>IF(C39="",NA(),MATCH($B39&amp;$C39,'Smelter Look-up'!$J:$J,0))</f>
        <v>155</v>
      </c>
      <c r="W39" s="270"/>
      <c r="X39" s="270">
        <f t="shared" si="1"/>
        <v>0</v>
      </c>
      <c r="Y39" s="270"/>
      <c r="Z39" s="270"/>
      <c r="AB39" s="272" t="str">
        <f t="shared" si="2"/>
        <v>GoldMitsubishi Materials Corporation</v>
      </c>
    </row>
    <row r="40" spans="1:28" s="271" customFormat="1" ht="20" customHeight="1">
      <c r="A40" s="215"/>
      <c r="B40" s="348" t="s">
        <v>1250</v>
      </c>
      <c r="C40" s="349" t="s">
        <v>2926</v>
      </c>
      <c r="D40" s="351" t="s">
        <v>15507</v>
      </c>
      <c r="E40" s="353" t="s">
        <v>1231</v>
      </c>
      <c r="F40" s="353" t="s">
        <v>1957</v>
      </c>
      <c r="G40" s="353" t="s">
        <v>14357</v>
      </c>
      <c r="H40" s="354">
        <v>0</v>
      </c>
      <c r="I40" s="218" t="s">
        <v>1958</v>
      </c>
      <c r="J40" s="218" t="s">
        <v>13942</v>
      </c>
      <c r="K40" s="267"/>
      <c r="L40" s="267"/>
      <c r="M40" s="267"/>
      <c r="N40" s="267"/>
      <c r="O40" s="267"/>
      <c r="P40" s="219"/>
      <c r="Q40" s="268"/>
      <c r="R40" s="216" t="str">
        <f ca="1">IF(ISERROR($V40),"",OFFSET('Smelter Look-up'!$C$4,$V40-4,0)&amp;"")</f>
        <v>Korea Zinc Co., Ltd.</v>
      </c>
      <c r="S40" s="224" t="str">
        <f t="shared" ca="1" si="0"/>
        <v>KR</v>
      </c>
      <c r="T40" s="224" t="str">
        <f ca="1">IF(B40="","",IF(ISERROR(MATCH($J40,SorP!$B$1:$B$6230,0)),"",INDIRECT("'SorP'!$A$"&amp;MATCH($J40,SorP!$B$1:$B$6230,0))))</f>
        <v>KR-11</v>
      </c>
      <c r="U40" s="239"/>
      <c r="V40" s="269">
        <f>IF(C40="",NA(),MATCH($B40&amp;$C40,'Smelter Look-up'!$J:$J,0))</f>
        <v>124</v>
      </c>
      <c r="W40" s="270"/>
      <c r="X40" s="270">
        <f t="shared" si="1"/>
        <v>0</v>
      </c>
      <c r="Y40" s="270"/>
      <c r="Z40" s="270"/>
      <c r="AB40" s="272" t="str">
        <f t="shared" si="2"/>
        <v>GoldKorea Zinc Co., Ltd.</v>
      </c>
    </row>
    <row r="41" spans="1:28" s="271" customFormat="1" ht="20" customHeight="1">
      <c r="A41" s="215"/>
      <c r="B41" s="348" t="s">
        <v>1250</v>
      </c>
      <c r="C41" s="349" t="s">
        <v>1903</v>
      </c>
      <c r="D41" s="351" t="s">
        <v>1228</v>
      </c>
      <c r="E41" s="353" t="s">
        <v>1228</v>
      </c>
      <c r="F41" s="353" t="s">
        <v>823</v>
      </c>
      <c r="G41" s="353" t="s">
        <v>14357</v>
      </c>
      <c r="H41" s="354">
        <v>0</v>
      </c>
      <c r="I41" s="218" t="s">
        <v>1902</v>
      </c>
      <c r="J41" s="218" t="s">
        <v>2646</v>
      </c>
      <c r="K41" s="267"/>
      <c r="L41" s="267"/>
      <c r="M41" s="267"/>
      <c r="N41" s="267"/>
      <c r="O41" s="267"/>
      <c r="P41" s="219"/>
      <c r="Q41" s="268"/>
      <c r="R41" s="216" t="str">
        <f ca="1">IF(ISERROR($V41),"",OFFSET('Smelter Look-up'!$C$4,$V41-4,0)&amp;"")</f>
        <v>Sumitomo Metal Mining Co., Ltd.</v>
      </c>
      <c r="S41" s="224" t="str">
        <f t="shared" ca="1" si="0"/>
        <v>JP</v>
      </c>
      <c r="T41" s="224" t="str">
        <f ca="1">IF(B41="","",IF(ISERROR(MATCH($J41,SorP!$B$1:$B$6230,0)),"",INDIRECT("'SorP'!$A$"&amp;MATCH($J41,SorP!$B$1:$B$6230,0))))</f>
        <v>JP-38</v>
      </c>
      <c r="U41" s="239"/>
      <c r="V41" s="269">
        <f>IF(C41="",NA(),MATCH($B41&amp;$C41,'Smelter Look-up'!$J:$J,0))</f>
        <v>254</v>
      </c>
      <c r="W41" s="270"/>
      <c r="X41" s="270">
        <f t="shared" si="1"/>
        <v>0</v>
      </c>
      <c r="Y41" s="270"/>
      <c r="Z41" s="270"/>
      <c r="AB41" s="272" t="str">
        <f t="shared" si="2"/>
        <v>GoldToyo Smelter &amp; Refinery</v>
      </c>
    </row>
    <row r="42" spans="1:28" s="271" customFormat="1" ht="20" customHeight="1">
      <c r="A42" s="215"/>
      <c r="B42" s="348" t="s">
        <v>1250</v>
      </c>
      <c r="C42" s="349" t="s">
        <v>2950</v>
      </c>
      <c r="D42" s="351" t="s">
        <v>1228</v>
      </c>
      <c r="E42" s="353" t="s">
        <v>1228</v>
      </c>
      <c r="F42" s="353" t="s">
        <v>824</v>
      </c>
      <c r="G42" s="353" t="s">
        <v>14357</v>
      </c>
      <c r="H42" s="354">
        <v>0</v>
      </c>
      <c r="I42" s="218" t="s">
        <v>1904</v>
      </c>
      <c r="J42" s="218" t="s">
        <v>1905</v>
      </c>
      <c r="K42" s="267"/>
      <c r="L42" s="267"/>
      <c r="M42" s="267"/>
      <c r="N42" s="267"/>
      <c r="O42" s="267"/>
      <c r="P42" s="219"/>
      <c r="Q42" s="268"/>
      <c r="R42" s="216" t="str">
        <f ca="1">IF(ISERROR($V42),"",OFFSET('Smelter Look-up'!$C$4,$V42-4,0)&amp;"")</f>
        <v>Tanaka Kikinzoku Kogyo K.K.</v>
      </c>
      <c r="S42" s="224" t="str">
        <f t="shared" ca="1" si="0"/>
        <v>JP</v>
      </c>
      <c r="T42" s="224" t="str">
        <f ca="1">IF(B42="","",IF(ISERROR(MATCH($J42,SorP!$B$1:$B$6230,0)),"",INDIRECT("'SorP'!$A$"&amp;MATCH($J42,SorP!$B$1:$B$6230,0))))</f>
        <v>JP-14</v>
      </c>
      <c r="U42" s="239"/>
      <c r="V42" s="269">
        <f>IF(C42="",NA(),MATCH($B42&amp;$C42,'Smelter Look-up'!$J:$J,0))</f>
        <v>240</v>
      </c>
      <c r="W42" s="270"/>
      <c r="X42" s="270">
        <f t="shared" si="1"/>
        <v>0</v>
      </c>
      <c r="Y42" s="270"/>
      <c r="Z42" s="270"/>
      <c r="AB42" s="272" t="str">
        <f t="shared" si="2"/>
        <v>GoldTanaka Electronics (Singapore) Pte. Ltd.</v>
      </c>
    </row>
    <row r="43" spans="1:28" s="271" customFormat="1" ht="20" customHeight="1">
      <c r="A43" s="215"/>
      <c r="B43" s="348" t="s">
        <v>1250</v>
      </c>
      <c r="C43" s="349" t="s">
        <v>2659</v>
      </c>
      <c r="D43" s="351" t="s">
        <v>1228</v>
      </c>
      <c r="E43" s="353" t="s">
        <v>1228</v>
      </c>
      <c r="F43" s="353" t="s">
        <v>823</v>
      </c>
      <c r="G43" s="353" t="s">
        <v>14357</v>
      </c>
      <c r="H43" s="354">
        <v>0</v>
      </c>
      <c r="I43" s="218" t="s">
        <v>1902</v>
      </c>
      <c r="J43" s="218" t="s">
        <v>2646</v>
      </c>
      <c r="K43" s="267"/>
      <c r="L43" s="267"/>
      <c r="M43" s="267"/>
      <c r="N43" s="267"/>
      <c r="O43" s="267"/>
      <c r="P43" s="219"/>
      <c r="Q43" s="268"/>
      <c r="R43" s="216" t="str">
        <f ca="1">IF(ISERROR($V43),"",OFFSET('Smelter Look-up'!$C$4,$V43-4,0)&amp;"")</f>
        <v>Sumitomo Metal Mining Co., Ltd.</v>
      </c>
      <c r="S43" s="224" t="str">
        <f t="shared" ca="1" si="0"/>
        <v>JP</v>
      </c>
      <c r="T43" s="224" t="str">
        <f ca="1">IF(B43="","",IF(ISERROR(MATCH($J43,SorP!$B$1:$B$6230,0)),"",INDIRECT("'SorP'!$A$"&amp;MATCH($J43,SorP!$B$1:$B$6230,0))))</f>
        <v>JP-38</v>
      </c>
      <c r="U43" s="239"/>
      <c r="V43" s="269">
        <f>IF(C43="",NA(),MATCH($B43&amp;$C43,'Smelter Look-up'!$J:$J,0))</f>
        <v>230</v>
      </c>
      <c r="W43" s="270"/>
      <c r="X43" s="270">
        <f t="shared" si="1"/>
        <v>0</v>
      </c>
      <c r="Y43" s="270"/>
      <c r="Z43" s="270"/>
      <c r="AB43" s="272" t="str">
        <f t="shared" si="2"/>
        <v>GoldSumitomo Kinzoku Kozan K.K.</v>
      </c>
    </row>
    <row r="44" spans="1:28" s="271" customFormat="1" ht="20" customHeight="1">
      <c r="A44" s="215"/>
      <c r="B44" s="348" t="s">
        <v>1250</v>
      </c>
      <c r="C44" s="349" t="s">
        <v>62</v>
      </c>
      <c r="D44" s="351" t="s">
        <v>1228</v>
      </c>
      <c r="E44" s="353" t="s">
        <v>1228</v>
      </c>
      <c r="F44" s="353" t="s">
        <v>823</v>
      </c>
      <c r="G44" s="353" t="s">
        <v>14357</v>
      </c>
      <c r="H44" s="354">
        <v>0</v>
      </c>
      <c r="I44" s="218" t="s">
        <v>1902</v>
      </c>
      <c r="J44" s="218" t="s">
        <v>2646</v>
      </c>
      <c r="K44" s="267"/>
      <c r="L44" s="267"/>
      <c r="M44" s="267"/>
      <c r="N44" s="267"/>
      <c r="O44" s="267"/>
      <c r="P44" s="219"/>
      <c r="Q44" s="268"/>
      <c r="R44" s="216" t="str">
        <f ca="1">IF(ISERROR($V44),"",OFFSET('Smelter Look-up'!$C$4,$V44-4,0)&amp;"")</f>
        <v>Sumitomo Metal Mining Co., Ltd.</v>
      </c>
      <c r="S44" s="224" t="str">
        <f t="shared" ca="1" si="0"/>
        <v>JP</v>
      </c>
      <c r="T44" s="224" t="str">
        <f ca="1">IF(B44="","",IF(ISERROR(MATCH($J44,SorP!$B$1:$B$6230,0)),"",INDIRECT("'SorP'!$A$"&amp;MATCH($J44,SorP!$B$1:$B$6230,0))))</f>
        <v>JP-38</v>
      </c>
      <c r="U44" s="239"/>
      <c r="V44" s="269">
        <f>IF(C44="",NA(),MATCH($B44&amp;$C44,'Smelter Look-up'!$J:$J,0))</f>
        <v>231</v>
      </c>
      <c r="W44" s="270"/>
      <c r="X44" s="270">
        <f t="shared" si="1"/>
        <v>0</v>
      </c>
      <c r="Y44" s="270"/>
      <c r="Z44" s="270"/>
      <c r="AB44" s="272" t="str">
        <f t="shared" si="2"/>
        <v>GoldSumitomo Metal Mining Co., Ltd.</v>
      </c>
    </row>
    <row r="45" spans="1:28" s="271" customFormat="1" ht="20" customHeight="1">
      <c r="A45" s="215"/>
      <c r="B45" s="348" t="s">
        <v>1250</v>
      </c>
      <c r="C45" s="349" t="s">
        <v>1909</v>
      </c>
      <c r="D45" s="351" t="s">
        <v>1220</v>
      </c>
      <c r="E45" s="353" t="s">
        <v>1220</v>
      </c>
      <c r="F45" s="353" t="s">
        <v>826</v>
      </c>
      <c r="G45" s="353" t="s">
        <v>14357</v>
      </c>
      <c r="H45" s="354">
        <v>0</v>
      </c>
      <c r="I45" s="218" t="s">
        <v>1895</v>
      </c>
      <c r="J45" s="218" t="s">
        <v>15234</v>
      </c>
      <c r="K45" s="267"/>
      <c r="L45" s="267"/>
      <c r="M45" s="267"/>
      <c r="N45" s="267"/>
      <c r="O45" s="267"/>
      <c r="P45" s="219"/>
      <c r="Q45" s="268"/>
      <c r="R45" s="216" t="str">
        <f ca="1">IF(ISERROR($V45),"",OFFSET('Smelter Look-up'!$C$4,$V45-4,0)&amp;"")</f>
        <v>The Refinery of Shandong Gold Mining Co., Ltd.</v>
      </c>
      <c r="S45" s="224" t="str">
        <f t="shared" ca="1" si="0"/>
        <v>CN</v>
      </c>
      <c r="T45" s="224" t="str">
        <f ca="1">IF(B45="","",IF(ISERROR(MATCH($J45,SorP!$B$1:$B$6230,0)),"",INDIRECT("'SorP'!$A$"&amp;MATCH($J45,SorP!$B$1:$B$6230,0))))</f>
        <v>CN-SD</v>
      </c>
      <c r="U45" s="239"/>
      <c r="V45" s="269">
        <f>IF(C45="",NA(),MATCH($B45&amp;$C45,'Smelter Look-up'!$J:$J,0))</f>
        <v>209</v>
      </c>
      <c r="W45" s="270"/>
      <c r="X45" s="270">
        <f t="shared" si="1"/>
        <v>0</v>
      </c>
      <c r="Y45" s="270"/>
      <c r="Z45" s="270"/>
      <c r="AB45" s="272" t="str">
        <f t="shared" si="2"/>
        <v>GoldShandong Gold Mine(Laizhou) Smelter Co., Ltd.</v>
      </c>
    </row>
    <row r="46" spans="1:28" s="271" customFormat="1" ht="27" customHeight="1">
      <c r="A46" s="215"/>
      <c r="B46" s="348" t="s">
        <v>1250</v>
      </c>
      <c r="C46" s="349" t="s">
        <v>58</v>
      </c>
      <c r="D46" s="351" t="s">
        <v>1220</v>
      </c>
      <c r="E46" s="353" t="s">
        <v>1220</v>
      </c>
      <c r="F46" s="353" t="s">
        <v>771</v>
      </c>
      <c r="G46" s="353" t="s">
        <v>14357</v>
      </c>
      <c r="H46" s="354">
        <v>0</v>
      </c>
      <c r="I46" s="218" t="s">
        <v>1826</v>
      </c>
      <c r="J46" s="218" t="s">
        <v>15475</v>
      </c>
      <c r="K46" s="267"/>
      <c r="L46" s="267"/>
      <c r="M46" s="267"/>
      <c r="N46" s="267"/>
      <c r="O46" s="267"/>
      <c r="P46" s="219"/>
      <c r="Q46" s="268"/>
      <c r="R46" s="216" t="str">
        <f ca="1">IF(ISERROR($V46),"",OFFSET('Smelter Look-up'!$C$4,$V46-4,0)&amp;"")</f>
        <v>Heraeus Metals Hong Kong Ltd.</v>
      </c>
      <c r="S46" s="224" t="str">
        <f t="shared" ca="1" si="0"/>
        <v>CN</v>
      </c>
      <c r="T46" s="224" t="str">
        <f ca="1">IF(B46="","",IF(ISERROR(MATCH($J46,SorP!$B$1:$B$6230,0)),"",INDIRECT("'SorP'!$A$"&amp;MATCH($J46,SorP!$B$1:$B$6230,0))))</f>
        <v>CN-HK</v>
      </c>
      <c r="U46" s="239"/>
      <c r="V46" s="269">
        <f>IF(C46="",NA(),MATCH($B46&amp;$C46,'Smelter Look-up'!$J:$J,0))</f>
        <v>90</v>
      </c>
      <c r="W46" s="270"/>
      <c r="X46" s="270">
        <f t="shared" si="1"/>
        <v>0</v>
      </c>
      <c r="Y46" s="270"/>
      <c r="Z46" s="270"/>
      <c r="AB46" s="272" t="str">
        <f t="shared" si="2"/>
        <v>GoldHeraeus Ltd. Hong Kong</v>
      </c>
    </row>
    <row r="47" spans="1:28" s="271" customFormat="1" ht="27" customHeight="1">
      <c r="A47" s="215"/>
      <c r="B47" s="348" t="s">
        <v>1250</v>
      </c>
      <c r="C47" s="349" t="s">
        <v>1353</v>
      </c>
      <c r="D47" s="351" t="s">
        <v>1221</v>
      </c>
      <c r="E47" s="353" t="s">
        <v>1221</v>
      </c>
      <c r="F47" s="353" t="s">
        <v>772</v>
      </c>
      <c r="G47" s="353" t="s">
        <v>14357</v>
      </c>
      <c r="H47" s="354">
        <v>0</v>
      </c>
      <c r="I47" s="218" t="s">
        <v>1827</v>
      </c>
      <c r="J47" s="218" t="s">
        <v>4944</v>
      </c>
      <c r="K47" s="267"/>
      <c r="L47" s="267"/>
      <c r="M47" s="267"/>
      <c r="N47" s="267"/>
      <c r="O47" s="267"/>
      <c r="P47" s="219"/>
      <c r="Q47" s="268"/>
      <c r="R47" s="216" t="str">
        <f ca="1">IF(ISERROR($V47),"",OFFSET('Smelter Look-up'!$C$4,$V47-4,0)&amp;"")</f>
        <v>Heraeus Precious Metals GmbH &amp; Co. KG</v>
      </c>
      <c r="S47" s="224" t="str">
        <f t="shared" ca="1" si="0"/>
        <v>DE</v>
      </c>
      <c r="T47" s="224" t="str">
        <f ca="1">IF(B47="","",IF(ISERROR(MATCH($J47,SorP!$B$1:$B$6230,0)),"",INDIRECT("'SorP'!$A$"&amp;MATCH($J47,SorP!$B$1:$B$6230,0))))</f>
        <v>DE-HE</v>
      </c>
      <c r="U47" s="239"/>
      <c r="V47" s="269">
        <f>IF(C47="",NA(),MATCH($B47&amp;$C47,'Smelter Look-up'!$J:$J,0))</f>
        <v>92</v>
      </c>
      <c r="W47" s="270"/>
      <c r="X47" s="270">
        <f t="shared" si="1"/>
        <v>0</v>
      </c>
      <c r="Y47" s="270"/>
      <c r="Z47" s="270"/>
      <c r="AB47" s="272" t="str">
        <f t="shared" si="2"/>
        <v>GoldHeraeus Precious Metals GmbH &amp; Co. KG</v>
      </c>
    </row>
    <row r="48" spans="1:28" s="271" customFormat="1" ht="23" customHeight="1">
      <c r="A48" s="215"/>
      <c r="B48" s="348" t="s">
        <v>1250</v>
      </c>
      <c r="C48" s="349" t="s">
        <v>1930</v>
      </c>
      <c r="D48" s="351" t="s">
        <v>1220</v>
      </c>
      <c r="E48" s="353" t="s">
        <v>1220</v>
      </c>
      <c r="F48" s="353" t="s">
        <v>820</v>
      </c>
      <c r="G48" s="353" t="s">
        <v>14357</v>
      </c>
      <c r="H48" s="354">
        <v>0</v>
      </c>
      <c r="I48" s="218" t="s">
        <v>1823</v>
      </c>
      <c r="J48" s="218" t="s">
        <v>15234</v>
      </c>
      <c r="K48" s="267"/>
      <c r="L48" s="267"/>
      <c r="M48" s="267"/>
      <c r="N48" s="267"/>
      <c r="O48" s="267"/>
      <c r="P48" s="219"/>
      <c r="Q48" s="268"/>
      <c r="R48" s="216" t="str">
        <f ca="1">IF(ISERROR($V48),"",OFFSET('Smelter Look-up'!$C$4,$V48-4,0)&amp;"")</f>
        <v>Shandong Zhaojin Gold &amp; Silver Refinery Co., Ltd.</v>
      </c>
      <c r="S48" s="224" t="str">
        <f t="shared" ca="1" si="0"/>
        <v>CN</v>
      </c>
      <c r="T48" s="224" t="str">
        <f ca="1">IF(B48="","",IF(ISERROR(MATCH($J48,SorP!$B$1:$B$6230,0)),"",INDIRECT("'SorP'!$A$"&amp;MATCH($J48,SorP!$B$1:$B$6230,0))))</f>
        <v>CN-SD</v>
      </c>
      <c r="U48" s="239"/>
      <c r="V48" s="269">
        <f>IF(C48="",NA(),MATCH($B48&amp;$C48,'Smelter Look-up'!$J:$J,0))</f>
        <v>279</v>
      </c>
      <c r="W48" s="270"/>
      <c r="X48" s="270">
        <f t="shared" si="1"/>
        <v>0</v>
      </c>
      <c r="Y48" s="270"/>
      <c r="Z48" s="270"/>
      <c r="AB48" s="272" t="str">
        <f t="shared" si="2"/>
        <v>GoldZhaoyuan Gold Group</v>
      </c>
    </row>
    <row r="49" spans="1:28" s="271" customFormat="1" ht="23" customHeight="1">
      <c r="A49" s="215"/>
      <c r="B49" s="348" t="s">
        <v>1250</v>
      </c>
      <c r="C49" s="349" t="s">
        <v>2570</v>
      </c>
      <c r="D49" s="351" t="s">
        <v>1220</v>
      </c>
      <c r="E49" s="353" t="s">
        <v>1220</v>
      </c>
      <c r="F49" s="353" t="s">
        <v>820</v>
      </c>
      <c r="G49" s="353" t="s">
        <v>14357</v>
      </c>
      <c r="H49" s="354">
        <v>0</v>
      </c>
      <c r="I49" s="218" t="s">
        <v>1823</v>
      </c>
      <c r="J49" s="218" t="s">
        <v>15234</v>
      </c>
      <c r="K49" s="267"/>
      <c r="L49" s="267"/>
      <c r="M49" s="267"/>
      <c r="N49" s="267"/>
      <c r="O49" s="267"/>
      <c r="P49" s="219"/>
      <c r="Q49" s="268"/>
      <c r="R49" s="216" t="str">
        <f ca="1">IF(ISERROR($V49),"",OFFSET('Smelter Look-up'!$C$4,$V49-4,0)&amp;"")</f>
        <v>Shandong Zhaojin Gold &amp; Silver Refinery Co., Ltd.</v>
      </c>
      <c r="S49" s="224" t="str">
        <f t="shared" ca="1" si="0"/>
        <v>CN</v>
      </c>
      <c r="T49" s="224" t="str">
        <f ca="1">IF(B49="","",IF(ISERROR(MATCH($J49,SorP!$B$1:$B$6230,0)),"",INDIRECT("'SorP'!$A$"&amp;MATCH($J49,SorP!$B$1:$B$6230,0))))</f>
        <v>CN-SD</v>
      </c>
      <c r="U49" s="239"/>
      <c r="V49" s="269">
        <f>IF(C49="",NA(),MATCH($B49&amp;$C49,'Smelter Look-up'!$J:$J,0))</f>
        <v>215</v>
      </c>
      <c r="W49" s="270"/>
      <c r="X49" s="270">
        <f t="shared" si="1"/>
        <v>0</v>
      </c>
      <c r="Y49" s="270"/>
      <c r="Z49" s="270"/>
      <c r="AB49" s="272" t="str">
        <f t="shared" si="2"/>
        <v>GoldShandong Zhaojin Gold &amp; Silver Refinery Co., Ltd.</v>
      </c>
    </row>
    <row r="50" spans="1:28" s="271" customFormat="1" ht="24.5" customHeight="1">
      <c r="A50" s="215"/>
      <c r="B50" s="348" t="s">
        <v>1250</v>
      </c>
      <c r="C50" s="349" t="s">
        <v>1455</v>
      </c>
      <c r="D50" s="351" t="s">
        <v>1220</v>
      </c>
      <c r="E50" s="353" t="s">
        <v>1220</v>
      </c>
      <c r="F50" s="353" t="s">
        <v>838</v>
      </c>
      <c r="G50" s="353" t="s">
        <v>14357</v>
      </c>
      <c r="H50" s="354">
        <v>0</v>
      </c>
      <c r="I50" s="218" t="s">
        <v>1928</v>
      </c>
      <c r="J50" s="218" t="s">
        <v>15235</v>
      </c>
      <c r="K50" s="267"/>
      <c r="L50" s="267"/>
      <c r="M50" s="267"/>
      <c r="N50" s="267"/>
      <c r="O50" s="267"/>
      <c r="P50" s="219"/>
      <c r="Q50" s="268"/>
      <c r="R50" s="216" t="str">
        <f ca="1">IF(ISERROR($V50),"",OFFSET('Smelter Look-up'!$C$4,$V50-4,0)&amp;"")</f>
        <v>Zhongyuan Gold Smelter of Zhongjin Gold Corporation</v>
      </c>
      <c r="S50" s="224" t="str">
        <f t="shared" ca="1" si="0"/>
        <v>CN</v>
      </c>
      <c r="T50" s="224" t="str">
        <f ca="1">IF(B50="","",IF(ISERROR(MATCH($J50,SorP!$B$1:$B$6230,0)),"",INDIRECT("'SorP'!$A$"&amp;MATCH($J50,SorP!$B$1:$B$6230,0))))</f>
        <v>CN-HA</v>
      </c>
      <c r="U50" s="239"/>
      <c r="V50" s="269">
        <f>IF(C50="",NA(),MATCH($B50&amp;$C50,'Smelter Look-up'!$J:$J,0))</f>
        <v>281</v>
      </c>
      <c r="W50" s="270"/>
      <c r="X50" s="270">
        <f t="shared" si="1"/>
        <v>0</v>
      </c>
      <c r="Y50" s="270"/>
      <c r="Z50" s="270"/>
      <c r="AB50" s="272" t="str">
        <f t="shared" si="2"/>
        <v>GoldZhongyuan Gold Smelter of Zhongjin Gold Corporation</v>
      </c>
    </row>
    <row r="51" spans="1:28" s="271" customFormat="1" ht="20">
      <c r="A51" s="215"/>
      <c r="B51" s="353" t="s">
        <v>1250</v>
      </c>
      <c r="C51" s="355" t="s">
        <v>1929</v>
      </c>
      <c r="D51" s="353" t="s">
        <v>1220</v>
      </c>
      <c r="E51" s="353" t="s">
        <v>1220</v>
      </c>
      <c r="F51" s="353" t="s">
        <v>820</v>
      </c>
      <c r="G51" s="353" t="s">
        <v>14357</v>
      </c>
      <c r="H51" s="354">
        <v>0</v>
      </c>
      <c r="I51" s="218" t="s">
        <v>1823</v>
      </c>
      <c r="J51" s="218" t="s">
        <v>15234</v>
      </c>
      <c r="K51" s="267"/>
      <c r="L51" s="267"/>
      <c r="M51" s="267"/>
      <c r="N51" s="267"/>
      <c r="O51" s="267"/>
      <c r="P51" s="219"/>
      <c r="Q51" s="268"/>
      <c r="R51" s="216" t="str">
        <f ca="1">IF(ISERROR($V51),"",OFFSET('Smelter Look-up'!$C$4,$V51-4,0)&amp;"")</f>
        <v>Shandong Zhaojin Gold &amp; Silver Refinery Co., Ltd.</v>
      </c>
      <c r="S51" s="224" t="str">
        <f t="shared" ca="1" si="0"/>
        <v>CN</v>
      </c>
      <c r="T51" s="224" t="str">
        <f ca="1">IF(B51="","",IF(ISERROR(MATCH($J51,SorP!$B$1:$B$6230,0)),"",INDIRECT("'SorP'!$A$"&amp;MATCH($J51,SorP!$B$1:$B$6230,0))))</f>
        <v>CN-SD</v>
      </c>
      <c r="U51" s="239"/>
      <c r="V51" s="269">
        <f>IF(C51="",NA(),MATCH($B51&amp;$C51,'Smelter Look-up'!$J:$J,0))</f>
        <v>275</v>
      </c>
      <c r="W51" s="270"/>
      <c r="X51" s="270">
        <f t="shared" si="1"/>
        <v>0</v>
      </c>
      <c r="Y51" s="270"/>
      <c r="Z51" s="270"/>
      <c r="AB51" s="272" t="str">
        <f t="shared" si="2"/>
        <v>GoldZhao Yuan Gold Smelter of ZhongJin</v>
      </c>
    </row>
    <row r="52" spans="1:28" s="271" customFormat="1" ht="20">
      <c r="A52" s="215"/>
      <c r="B52" s="353" t="s">
        <v>1250</v>
      </c>
      <c r="C52" s="355" t="s">
        <v>37</v>
      </c>
      <c r="D52" s="353" t="s">
        <v>1220</v>
      </c>
      <c r="E52" s="353" t="s">
        <v>1220</v>
      </c>
      <c r="F52" s="353" t="s">
        <v>820</v>
      </c>
      <c r="G52" s="353" t="s">
        <v>14357</v>
      </c>
      <c r="H52" s="354">
        <v>0</v>
      </c>
      <c r="I52" s="218" t="s">
        <v>1823</v>
      </c>
      <c r="J52" s="218" t="s">
        <v>15234</v>
      </c>
      <c r="K52" s="267"/>
      <c r="L52" s="267"/>
      <c r="M52" s="267"/>
      <c r="N52" s="267"/>
      <c r="O52" s="267"/>
      <c r="P52" s="219"/>
      <c r="Q52" s="268"/>
      <c r="R52" s="216" t="str">
        <f ca="1">IF(ISERROR($V52),"",OFFSET('Smelter Look-up'!$C$4,$V52-4,0)&amp;"")</f>
        <v>Shandong Zhaojin Gold &amp; Silver Refinery Co., Ltd.</v>
      </c>
      <c r="S52" s="224" t="str">
        <f t="shared" ca="1" si="0"/>
        <v>CN</v>
      </c>
      <c r="T52" s="224" t="str">
        <f ca="1">IF(B52="","",IF(ISERROR(MATCH($J52,SorP!$B$1:$B$6230,0)),"",INDIRECT("'SorP'!$A$"&amp;MATCH($J52,SorP!$B$1:$B$6230,0))))</f>
        <v>CN-SD</v>
      </c>
      <c r="U52" s="239"/>
      <c r="V52" s="269">
        <f>IF(C52="",NA(),MATCH($B52&amp;$C52,'Smelter Look-up'!$J:$J,0))</f>
        <v>276</v>
      </c>
      <c r="W52" s="270"/>
      <c r="X52" s="270">
        <f t="shared" si="1"/>
        <v>0</v>
      </c>
      <c r="Y52" s="270"/>
      <c r="Z52" s="270"/>
      <c r="AB52" s="272" t="str">
        <f t="shared" si="2"/>
        <v>GoldZhao Yuan Jin Kuang</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6"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Challenge Electronics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All products supplied by Challenge Electronics, to the best of our knowledge, coform to the following.</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Joshua Klyman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jklyman@challelec.com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16315952217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Joshua Klyman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jklyman@challelec.com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16315952217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43622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https://challengeleectronics.com/engineering/quality-management/eicc/?ceel=cmrt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1" t="str">
        <f ca="1">OFFSET(L!$C$1,MATCH("Product List"&amp;ADDRESS(ROW(),COLUMN(),4),L!$A:$A,0)-1,SL,,)</f>
        <v>Completion required only if reporting level "Product (or List of Products)" selected on the 'Declaration' worksheet.</v>
      </c>
      <c r="B1" s="452"/>
      <c r="C1" s="452"/>
      <c r="D1" s="452"/>
      <c r="E1" s="149"/>
    </row>
    <row r="2" spans="1:6">
      <c r="A2" s="29"/>
      <c r="B2" s="151"/>
      <c r="C2" s="151"/>
      <c r="D2"/>
      <c r="E2" s="30"/>
    </row>
    <row r="3" spans="1:6">
      <c r="A3" s="29"/>
      <c r="B3" s="151"/>
      <c r="C3" s="151"/>
      <c r="D3" s="151"/>
      <c r="E3" s="30"/>
    </row>
    <row r="4" spans="1:6" ht="15.75" customHeight="1">
      <c r="A4" s="29"/>
      <c r="B4" s="450" t="s">
        <v>1014</v>
      </c>
      <c r="C4" s="450"/>
      <c r="D4" s="450"/>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3" t="str">
        <f ca="1">OFFSET(L!$C$1,MATCH("General"&amp;"Cpy",L!$A:$A,0)-1,SL,,)</f>
        <v>© 2019 Responsible Minerals Initiative. All rights reserved.</v>
      </c>
      <c r="C1001" s="453"/>
      <c r="D1001" s="453"/>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77" activePane="bottomLeft" state="frozen"/>
      <selection pane="bottomLeft" activeCell="B387" sqref="B387"/>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5"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51">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70">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Yehoshua Klyman</cp:lastModifiedBy>
  <cp:lastPrinted>2015-04-21T20:47:43Z</cp:lastPrinted>
  <dcterms:created xsi:type="dcterms:W3CDTF">2010-06-21T21:00:23Z</dcterms:created>
  <dcterms:modified xsi:type="dcterms:W3CDTF">2019-06-25T18:51:03Z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